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omments1.xml" ContentType="application/vnd.openxmlformats-officedocument.spreadsheetml.comments+xml"/>
  <Override PartName="/xl/drawings/drawing14.xml" ContentType="application/vnd.openxmlformats-officedocument.drawing+xml"/>
  <Override PartName="/xl/comments2.xml" ContentType="application/vnd.openxmlformats-officedocument.spreadsheetml.comments+xml"/>
  <Override PartName="/xl/drawings/drawing15.xml" ContentType="application/vnd.openxmlformats-officedocument.drawing+xml"/>
  <Override PartName="/xl/comments3.xml" ContentType="application/vnd.openxmlformats-officedocument.spreadsheetml.comments+xml"/>
  <Override PartName="/xl/drawings/drawing16.xml" ContentType="application/vnd.openxmlformats-officedocument.drawing+xml"/>
  <Override PartName="/xl/comments4.xml" ContentType="application/vnd.openxmlformats-officedocument.spreadsheetml.comments+xml"/>
  <Override PartName="/xl/drawings/drawing17.xml" ContentType="application/vnd.openxmlformats-officedocument.drawing+xml"/>
  <Override PartName="/xl/comments5.xml" ContentType="application/vnd.openxmlformats-officedocument.spreadsheetml.comments+xml"/>
  <Override PartName="/xl/drawings/drawing18.xml" ContentType="application/vnd.openxmlformats-officedocument.drawing+xml"/>
  <Override PartName="/xl/comments6.xml" ContentType="application/vnd.openxmlformats-officedocument.spreadsheetml.comments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/>
  <mc:AlternateContent xmlns:mc="http://schemas.openxmlformats.org/markup-compatibility/2006">
    <mc:Choice Requires="x15">
      <x15ac:absPath xmlns:x15ac="http://schemas.microsoft.com/office/spreadsheetml/2010/11/ac" url="I:\Aplik\w_ori\Nekovarova\Nová lávka pro pěší přes Labe\Realizace\VŘ - zhotovitel stavby\Rozpočty ZŘ\"/>
    </mc:Choice>
  </mc:AlternateContent>
  <xr:revisionPtr revIDLastSave="0" documentId="8_{4DCB50E8-97BF-449D-ADF8-563592B06B2F}" xr6:coauthVersionLast="45" xr6:coauthVersionMax="45" xr10:uidLastSave="{00000000-0000-0000-0000-000000000000}"/>
  <bookViews>
    <workbookView xWindow="2355" yWindow="2355" windowWidth="18900" windowHeight="11055" tabRatio="822" xr2:uid="{00000000-000D-0000-FFFF-FFFF00000000}"/>
  </bookViews>
  <sheets>
    <sheet name="Souhrn" sheetId="1" r:id="rId1"/>
    <sheet name="0 - SO010UN" sheetId="2" r:id="rId2"/>
    <sheet name="1 - SO151NN" sheetId="3" r:id="rId3"/>
    <sheet name="2 - SO151UN" sheetId="4" r:id="rId4"/>
    <sheet name="3 - SO152NN" sheetId="5" r:id="rId5"/>
    <sheet name="4 - SO152UN" sheetId="6" r:id="rId6"/>
    <sheet name="5 - SO153NN" sheetId="7" r:id="rId7"/>
    <sheet name="6 - SO153UN" sheetId="8" r:id="rId8"/>
    <sheet name="7 - SO201NN" sheetId="9" r:id="rId9"/>
    <sheet name="8 - SO201UN" sheetId="10" r:id="rId10"/>
    <sheet name="9 - SO341NN" sheetId="11" r:id="rId11"/>
    <sheet name="10 - SO341UN" sheetId="12" r:id="rId12"/>
    <sheet name="11 - SO431NN" sheetId="13" r:id="rId13"/>
    <sheet name="12 - SO432NN" sheetId="14" r:id="rId14"/>
    <sheet name="13 - 801.1.1.NN" sheetId="15" r:id="rId15"/>
    <sheet name="14 - 801.1.2NN" sheetId="16" r:id="rId16"/>
    <sheet name="15 - 801.2.1.NN" sheetId="17" r:id="rId17"/>
    <sheet name="16 - 801.2.2.NN" sheetId="18" r:id="rId18"/>
    <sheet name="17 - SO431_podrobně" sheetId="19" r:id="rId19"/>
    <sheet name="18 - SO432_podrobně" sheetId="20" r:id="rId20"/>
    <sheet name="19 - SO801_podrobně" sheetId="21" r:id="rId21"/>
    <sheet name="SO 801.1.1 - Hrubé terénn..." sheetId="22" r:id="rId22"/>
    <sheet name="SO 801.1.2 - Příprava plo..." sheetId="23" r:id="rId23"/>
    <sheet name="SO 801.2.1 - Založení veg..." sheetId="24" r:id="rId24"/>
    <sheet name="SO 801.2.2 - Rozvojová pé..." sheetId="25" r:id="rId25"/>
  </sheets>
  <definedNames>
    <definedName name="_xlnm._FilterDatabase" localSheetId="1" hidden="1">'0 - SO010UN'!$A$1:$S$1</definedName>
    <definedName name="_xlnm._FilterDatabase" localSheetId="2" hidden="1">'1 - SO151NN'!$A$1:$S$1</definedName>
    <definedName name="_xlnm._FilterDatabase" localSheetId="11" hidden="1">'10 - SO341UN'!$A$1:$S$1</definedName>
    <definedName name="_xlnm._FilterDatabase" localSheetId="12" hidden="1">'11 - SO431NN'!$A$1:$S$1</definedName>
    <definedName name="_xlnm._FilterDatabase" localSheetId="13" hidden="1">'12 - SO432NN'!$A$1:$S$1</definedName>
    <definedName name="_xlnm._FilterDatabase" localSheetId="14" hidden="1">'13 - 801.1.1.NN'!$A$1:$S$1</definedName>
    <definedName name="_xlnm._FilterDatabase" localSheetId="15" hidden="1">'14 - 801.1.2NN'!$A$1:$S$1</definedName>
    <definedName name="_xlnm._FilterDatabase" localSheetId="16" hidden="1">'15 - 801.2.1.NN'!$A$1:$S$1</definedName>
    <definedName name="_xlnm._FilterDatabase" localSheetId="17" hidden="1">'16 - 801.2.2.NN'!$A$1:$S$1</definedName>
    <definedName name="_xlnm._FilterDatabase" localSheetId="3" hidden="1">'2 - SO151UN'!$A$1:$S$1</definedName>
    <definedName name="_xlnm._FilterDatabase" localSheetId="4" hidden="1">'3 - SO152NN'!$A$1:$S$1</definedName>
    <definedName name="_xlnm._FilterDatabase" localSheetId="5" hidden="1">'4 - SO152UN'!$A$1:$S$1</definedName>
    <definedName name="_xlnm._FilterDatabase" localSheetId="6" hidden="1">'5 - SO153NN'!$A$1:$S$1</definedName>
    <definedName name="_xlnm._FilterDatabase" localSheetId="7" hidden="1">'6 - SO153UN'!$A$1:$S$1</definedName>
    <definedName name="_xlnm._FilterDatabase" localSheetId="8" hidden="1">'7 - SO201NN'!$A$1:$S$1</definedName>
    <definedName name="_xlnm._FilterDatabase" localSheetId="9" hidden="1">'8 - SO201UN'!$A$1:$S$1</definedName>
    <definedName name="_xlnm._FilterDatabase" localSheetId="10" hidden="1">'9 - SO341NN'!$A$1:$S$1</definedName>
    <definedName name="_xlnm._FilterDatabase" localSheetId="21" hidden="1">'SO 801.1.1 - Hrubé terénn...'!$C$119:$K$132</definedName>
    <definedName name="_xlnm._FilterDatabase" localSheetId="22" hidden="1">'SO 801.1.2 - Příprava plo...'!$C$121:$K$172</definedName>
    <definedName name="_xlnm._FilterDatabase" localSheetId="23" hidden="1">'SO 801.2.1 - Založení veg...'!$C$123:$K$243</definedName>
    <definedName name="_xlnm._FilterDatabase" localSheetId="24" hidden="1">'SO 801.2.2 - Rozvojová pé...'!$C$124:$K$276</definedName>
    <definedName name="_xlnm.Print_Titles" localSheetId="1">'0 - SO010UN'!$24:$26</definedName>
    <definedName name="_xlnm.Print_Titles" localSheetId="2">'1 - SO151NN'!$22:$24</definedName>
    <definedName name="_xlnm.Print_Titles" localSheetId="11">'10 - SO341UN'!$27:$29</definedName>
    <definedName name="_xlnm.Print_Titles" localSheetId="12">'11 - SO431NN'!$22:$24</definedName>
    <definedName name="_xlnm.Print_Titles" localSheetId="13">'12 - SO432NN'!$22:$24</definedName>
    <definedName name="_xlnm.Print_Titles" localSheetId="14">'13 - 801.1.1.NN'!$22:$24</definedName>
    <definedName name="_xlnm.Print_Titles" localSheetId="15">'14 - 801.1.2NN'!$22:$24</definedName>
    <definedName name="_xlnm.Print_Titles" localSheetId="16">'15 - 801.2.1.NN'!$22:$24</definedName>
    <definedName name="_xlnm.Print_Titles" localSheetId="17">'16 - 801.2.2.NN'!$22:$24</definedName>
    <definedName name="_xlnm.Print_Titles" localSheetId="20">'19 - SO801_podrobně'!$92:$92</definedName>
    <definedName name="_xlnm.Print_Titles" localSheetId="3">'2 - SO151UN'!$28:$30</definedName>
    <definedName name="_xlnm.Print_Titles" localSheetId="4">'3 - SO152NN'!$22:$24</definedName>
    <definedName name="_xlnm.Print_Titles" localSheetId="5">'4 - SO152UN'!$27:$29</definedName>
    <definedName name="_xlnm.Print_Titles" localSheetId="6">'5 - SO153NN'!$23:$25</definedName>
    <definedName name="_xlnm.Print_Titles" localSheetId="7">'6 - SO153UN'!$25:$27</definedName>
    <definedName name="_xlnm.Print_Titles" localSheetId="8">'7 - SO201NN'!$23:$25</definedName>
    <definedName name="_xlnm.Print_Titles" localSheetId="9">'8 - SO201UN'!$30:$32</definedName>
    <definedName name="_xlnm.Print_Titles" localSheetId="10">'9 - SO341NN'!$22:$24</definedName>
    <definedName name="_xlnm.Print_Titles" localSheetId="21">'SO 801.1.1 - Hrubé terénn...'!$119:$119</definedName>
    <definedName name="_xlnm.Print_Titles" localSheetId="22">'SO 801.1.2 - Příprava plo...'!$121:$121</definedName>
    <definedName name="_xlnm.Print_Titles" localSheetId="23">'SO 801.2.1 - Založení veg...'!$123:$123</definedName>
    <definedName name="_xlnm.Print_Titles" localSheetId="24">'SO 801.2.2 - Rozvojová pé...'!$124:$124</definedName>
    <definedName name="_xlnm.Print_Titles" localSheetId="0">Souhrn!$17:$19</definedName>
    <definedName name="_xlnm.Print_Area" localSheetId="1">'0 - SO010UN'!$A$1:$L$105</definedName>
    <definedName name="_xlnm.Print_Area" localSheetId="2">'1 - SO151NN'!$A$1:$L$48</definedName>
    <definedName name="_xlnm.Print_Area" localSheetId="11">'10 - SO341UN'!$A$1:$L$114</definedName>
    <definedName name="_xlnm.Print_Area" localSheetId="12">'11 - SO431NN'!$A$1:$L$45</definedName>
    <definedName name="_xlnm.Print_Area" localSheetId="13">'12 - SO432NN'!$A$1:$L$45</definedName>
    <definedName name="_xlnm.Print_Area" localSheetId="14">'13 - 801.1.1.NN'!$A$1:$L$45</definedName>
    <definedName name="_xlnm.Print_Area" localSheetId="15">'14 - 801.1.2NN'!$A$1:$L$45</definedName>
    <definedName name="_xlnm.Print_Area" localSheetId="16">'15 - 801.2.1.NN'!$A$1:$L$45</definedName>
    <definedName name="_xlnm.Print_Area" localSheetId="17">'16 - 801.2.2.NN'!$A$1:$L$45</definedName>
    <definedName name="_xlnm.Print_Area" localSheetId="18">'17 - SO431_podrobně'!$C$2:$R$61</definedName>
    <definedName name="_xlnm.Print_Area" localSheetId="19">'18 - SO432_podrobně'!$C$2:$R$61</definedName>
    <definedName name="_xlnm.Print_Area" localSheetId="20">'19 - SO801_podrobně'!$D$4:$AO$76,'19 - SO801_podrobně'!$C$82:$AQ$99</definedName>
    <definedName name="_xlnm.Print_Area" localSheetId="3">'2 - SO151UN'!$A$1:$L$144</definedName>
    <definedName name="_xlnm.Print_Area" localSheetId="4">'3 - SO152NN'!$A$1:$L$48</definedName>
    <definedName name="_xlnm.Print_Area" localSheetId="5">'4 - SO152UN'!$A$1:$L$129</definedName>
    <definedName name="_xlnm.Print_Area" localSheetId="6">'5 - SO153NN'!$A$1:$L$69</definedName>
    <definedName name="_xlnm.Print_Area" localSheetId="7">'6 - SO153UN'!$A$1:$L$69</definedName>
    <definedName name="_xlnm.Print_Area" localSheetId="8">'7 - SO201NN'!$A$1:$L$54</definedName>
    <definedName name="_xlnm.Print_Area" localSheetId="9">'8 - SO201UN'!$A$1:$L$297</definedName>
    <definedName name="_xlnm.Print_Area" localSheetId="10">'9 - SO341NN'!$A$1:$L$48</definedName>
    <definedName name="_xlnm.Print_Area" localSheetId="21">'SO 801.1.1 - Hrubé terénn...'!$C$4:$J$39,'SO 801.1.1 - Hrubé terénn...'!$C$50:$J$76,'SO 801.1.1 - Hrubé terénn...'!$C$82:$J$101,'SO 801.1.1 - Hrubé terénn...'!$C$107:$K$132</definedName>
    <definedName name="_xlnm.Print_Area" localSheetId="22">'SO 801.1.2 - Příprava plo...'!$C$4:$J$39,'SO 801.1.2 - Příprava plo...'!$C$50:$J$76,'SO 801.1.2 - Příprava plo...'!$C$82:$J$103,'SO 801.1.2 - Příprava plo...'!$C$109:$K$172</definedName>
    <definedName name="_xlnm.Print_Area" localSheetId="23">'SO 801.2.1 - Založení veg...'!$C$4:$J$39,'SO 801.2.1 - Založení veg...'!$C$50:$J$76,'SO 801.2.1 - Založení veg...'!$C$82:$J$105,'SO 801.2.1 - Založení veg...'!$C$111:$K$243</definedName>
    <definedName name="_xlnm.Print_Area" localSheetId="24">'SO 801.2.2 - Rozvojová pé...'!$C$4:$J$39,'SO 801.2.2 - Rozvojová pé...'!$C$50:$J$76,'SO 801.2.2 - Rozvojová pé...'!$C$82:$J$106,'SO 801.2.2 - Rozvojová pé...'!$C$112:$K$276</definedName>
    <definedName name="_xlnm.Print_Area" localSheetId="0">Souhrn!$A$1:$G$41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6" i="18" l="1"/>
  <c r="H26" i="17"/>
  <c r="H26" i="16"/>
  <c r="H26" i="15"/>
  <c r="H26" i="14" l="1"/>
  <c r="BK275" i="25" l="1"/>
  <c r="BK274" i="25" s="1"/>
  <c r="BI275" i="25"/>
  <c r="BH275" i="25"/>
  <c r="BG275" i="25"/>
  <c r="BF275" i="25"/>
  <c r="BE275" i="25"/>
  <c r="T275" i="25"/>
  <c r="R275" i="25"/>
  <c r="P275" i="25"/>
  <c r="J275" i="25"/>
  <c r="T274" i="25"/>
  <c r="R274" i="25"/>
  <c r="R273" i="25" s="1"/>
  <c r="P274" i="25"/>
  <c r="P273" i="25" s="1"/>
  <c r="T273" i="25"/>
  <c r="BK271" i="25"/>
  <c r="BI271" i="25"/>
  <c r="BH271" i="25"/>
  <c r="BG271" i="25"/>
  <c r="BF271" i="25"/>
  <c r="T271" i="25"/>
  <c r="R271" i="25"/>
  <c r="P271" i="25"/>
  <c r="J271" i="25"/>
  <c r="BE271" i="25" s="1"/>
  <c r="BK269" i="25"/>
  <c r="BI269" i="25"/>
  <c r="BH269" i="25"/>
  <c r="BG269" i="25"/>
  <c r="BF269" i="25"/>
  <c r="T269" i="25"/>
  <c r="R269" i="25"/>
  <c r="P269" i="25"/>
  <c r="J269" i="25"/>
  <c r="BE269" i="25" s="1"/>
  <c r="BK267" i="25"/>
  <c r="BI267" i="25"/>
  <c r="BH267" i="25"/>
  <c r="BG267" i="25"/>
  <c r="BF267" i="25"/>
  <c r="BE267" i="25"/>
  <c r="T267" i="25"/>
  <c r="R267" i="25"/>
  <c r="P267" i="25"/>
  <c r="J267" i="25"/>
  <c r="BK265" i="25"/>
  <c r="BI265" i="25"/>
  <c r="BH265" i="25"/>
  <c r="BG265" i="25"/>
  <c r="BF265" i="25"/>
  <c r="BE265" i="25"/>
  <c r="T265" i="25"/>
  <c r="R265" i="25"/>
  <c r="P265" i="25"/>
  <c r="J265" i="25"/>
  <c r="BK263" i="25"/>
  <c r="BI263" i="25"/>
  <c r="BH263" i="25"/>
  <c r="BG263" i="25"/>
  <c r="BF263" i="25"/>
  <c r="T263" i="25"/>
  <c r="R263" i="25"/>
  <c r="P263" i="25"/>
  <c r="J263" i="25"/>
  <c r="BE263" i="25" s="1"/>
  <c r="BK261" i="25"/>
  <c r="BI261" i="25"/>
  <c r="BH261" i="25"/>
  <c r="BG261" i="25"/>
  <c r="BF261" i="25"/>
  <c r="T261" i="25"/>
  <c r="R261" i="25"/>
  <c r="P261" i="25"/>
  <c r="J261" i="25"/>
  <c r="BE261" i="25" s="1"/>
  <c r="BK259" i="25"/>
  <c r="BI259" i="25"/>
  <c r="BH259" i="25"/>
  <c r="BG259" i="25"/>
  <c r="BF259" i="25"/>
  <c r="BE259" i="25"/>
  <c r="T259" i="25"/>
  <c r="R259" i="25"/>
  <c r="P259" i="25"/>
  <c r="J259" i="25"/>
  <c r="BK257" i="25"/>
  <c r="BI257" i="25"/>
  <c r="BH257" i="25"/>
  <c r="BG257" i="25"/>
  <c r="BF257" i="25"/>
  <c r="T257" i="25"/>
  <c r="R257" i="25"/>
  <c r="P257" i="25"/>
  <c r="J257" i="25"/>
  <c r="BE257" i="25" s="1"/>
  <c r="BK254" i="25"/>
  <c r="BI254" i="25"/>
  <c r="BH254" i="25"/>
  <c r="BG254" i="25"/>
  <c r="BF254" i="25"/>
  <c r="T254" i="25"/>
  <c r="R254" i="25"/>
  <c r="P254" i="25"/>
  <c r="J254" i="25"/>
  <c r="BE254" i="25" s="1"/>
  <c r="BK251" i="25"/>
  <c r="BI251" i="25"/>
  <c r="BH251" i="25"/>
  <c r="BG251" i="25"/>
  <c r="BF251" i="25"/>
  <c r="T251" i="25"/>
  <c r="R251" i="25"/>
  <c r="P251" i="25"/>
  <c r="J251" i="25"/>
  <c r="BE251" i="25" s="1"/>
  <c r="BK248" i="25"/>
  <c r="BI248" i="25"/>
  <c r="BH248" i="25"/>
  <c r="BG248" i="25"/>
  <c r="BF248" i="25"/>
  <c r="BE248" i="25"/>
  <c r="T248" i="25"/>
  <c r="R248" i="25"/>
  <c r="P248" i="25"/>
  <c r="J248" i="25"/>
  <c r="BK245" i="25"/>
  <c r="BI245" i="25"/>
  <c r="BH245" i="25"/>
  <c r="BG245" i="25"/>
  <c r="BF245" i="25"/>
  <c r="T245" i="25"/>
  <c r="R245" i="25"/>
  <c r="P245" i="25"/>
  <c r="J245" i="25"/>
  <c r="BE245" i="25" s="1"/>
  <c r="BK242" i="25"/>
  <c r="BI242" i="25"/>
  <c r="BH242" i="25"/>
  <c r="BG242" i="25"/>
  <c r="BF242" i="25"/>
  <c r="T242" i="25"/>
  <c r="R242" i="25"/>
  <c r="P242" i="25"/>
  <c r="J242" i="25"/>
  <c r="BE242" i="25" s="1"/>
  <c r="BK239" i="25"/>
  <c r="BI239" i="25"/>
  <c r="BH239" i="25"/>
  <c r="BG239" i="25"/>
  <c r="BF239" i="25"/>
  <c r="T239" i="25"/>
  <c r="R239" i="25"/>
  <c r="P239" i="25"/>
  <c r="J239" i="25"/>
  <c r="BE239" i="25" s="1"/>
  <c r="BK236" i="25"/>
  <c r="BI236" i="25"/>
  <c r="BH236" i="25"/>
  <c r="BG236" i="25"/>
  <c r="BF236" i="25"/>
  <c r="BE236" i="25"/>
  <c r="T236" i="25"/>
  <c r="R236" i="25"/>
  <c r="P236" i="25"/>
  <c r="J236" i="25"/>
  <c r="BK233" i="25"/>
  <c r="BI233" i="25"/>
  <c r="BH233" i="25"/>
  <c r="BG233" i="25"/>
  <c r="BF233" i="25"/>
  <c r="T233" i="25"/>
  <c r="R233" i="25"/>
  <c r="P233" i="25"/>
  <c r="J233" i="25"/>
  <c r="BE233" i="25" s="1"/>
  <c r="BK231" i="25"/>
  <c r="BI231" i="25"/>
  <c r="BH231" i="25"/>
  <c r="BG231" i="25"/>
  <c r="BF231" i="25"/>
  <c r="T231" i="25"/>
  <c r="R231" i="25"/>
  <c r="P231" i="25"/>
  <c r="J231" i="25"/>
  <c r="BE231" i="25" s="1"/>
  <c r="BK229" i="25"/>
  <c r="BI229" i="25"/>
  <c r="BH229" i="25"/>
  <c r="BG229" i="25"/>
  <c r="BF229" i="25"/>
  <c r="T229" i="25"/>
  <c r="T226" i="25" s="1"/>
  <c r="R229" i="25"/>
  <c r="R226" i="25" s="1"/>
  <c r="P229" i="25"/>
  <c r="J229" i="25"/>
  <c r="BE229" i="25" s="1"/>
  <c r="BK227" i="25"/>
  <c r="BK226" i="25" s="1"/>
  <c r="J226" i="25" s="1"/>
  <c r="J103" i="25" s="1"/>
  <c r="BI227" i="25"/>
  <c r="BH227" i="25"/>
  <c r="BG227" i="25"/>
  <c r="BF227" i="25"/>
  <c r="BE227" i="25"/>
  <c r="T227" i="25"/>
  <c r="R227" i="25"/>
  <c r="P227" i="25"/>
  <c r="J227" i="25"/>
  <c r="P226" i="25"/>
  <c r="BK224" i="25"/>
  <c r="BI224" i="25"/>
  <c r="BH224" i="25"/>
  <c r="BG224" i="25"/>
  <c r="BF224" i="25"/>
  <c r="BE224" i="25"/>
  <c r="T224" i="25"/>
  <c r="R224" i="25"/>
  <c r="P224" i="25"/>
  <c r="J224" i="25"/>
  <c r="BK222" i="25"/>
  <c r="BI222" i="25"/>
  <c r="BH222" i="25"/>
  <c r="BG222" i="25"/>
  <c r="BF222" i="25"/>
  <c r="BE222" i="25"/>
  <c r="T222" i="25"/>
  <c r="R222" i="25"/>
  <c r="P222" i="25"/>
  <c r="J222" i="25"/>
  <c r="BK220" i="25"/>
  <c r="BI220" i="25"/>
  <c r="BH220" i="25"/>
  <c r="BG220" i="25"/>
  <c r="BF220" i="25"/>
  <c r="T220" i="25"/>
  <c r="R220" i="25"/>
  <c r="P220" i="25"/>
  <c r="J220" i="25"/>
  <c r="BE220" i="25" s="1"/>
  <c r="BK218" i="25"/>
  <c r="BI218" i="25"/>
  <c r="BH218" i="25"/>
  <c r="BG218" i="25"/>
  <c r="BF218" i="25"/>
  <c r="T218" i="25"/>
  <c r="R218" i="25"/>
  <c r="P218" i="25"/>
  <c r="J218" i="25"/>
  <c r="BE218" i="25" s="1"/>
  <c r="BK216" i="25"/>
  <c r="BI216" i="25"/>
  <c r="BH216" i="25"/>
  <c r="BG216" i="25"/>
  <c r="BF216" i="25"/>
  <c r="BE216" i="25"/>
  <c r="T216" i="25"/>
  <c r="R216" i="25"/>
  <c r="P216" i="25"/>
  <c r="J216" i="25"/>
  <c r="BK214" i="25"/>
  <c r="BI214" i="25"/>
  <c r="BH214" i="25"/>
  <c r="BG214" i="25"/>
  <c r="BF214" i="25"/>
  <c r="T214" i="25"/>
  <c r="R214" i="25"/>
  <c r="P214" i="25"/>
  <c r="J214" i="25"/>
  <c r="BE214" i="25" s="1"/>
  <c r="BK212" i="25"/>
  <c r="BI212" i="25"/>
  <c r="BH212" i="25"/>
  <c r="BG212" i="25"/>
  <c r="BF212" i="25"/>
  <c r="T212" i="25"/>
  <c r="R212" i="25"/>
  <c r="P212" i="25"/>
  <c r="J212" i="25"/>
  <c r="BE212" i="25" s="1"/>
  <c r="BK210" i="25"/>
  <c r="BI210" i="25"/>
  <c r="BH210" i="25"/>
  <c r="BG210" i="25"/>
  <c r="BF210" i="25"/>
  <c r="BE210" i="25"/>
  <c r="T210" i="25"/>
  <c r="R210" i="25"/>
  <c r="P210" i="25"/>
  <c r="J210" i="25"/>
  <c r="BK207" i="25"/>
  <c r="BI207" i="25"/>
  <c r="BH207" i="25"/>
  <c r="BG207" i="25"/>
  <c r="BF207" i="25"/>
  <c r="BE207" i="25"/>
  <c r="T207" i="25"/>
  <c r="R207" i="25"/>
  <c r="P207" i="25"/>
  <c r="J207" i="25"/>
  <c r="BK204" i="25"/>
  <c r="BI204" i="25"/>
  <c r="BH204" i="25"/>
  <c r="BG204" i="25"/>
  <c r="BF204" i="25"/>
  <c r="T204" i="25"/>
  <c r="R204" i="25"/>
  <c r="P204" i="25"/>
  <c r="J204" i="25"/>
  <c r="BE204" i="25" s="1"/>
  <c r="BK201" i="25"/>
  <c r="BI201" i="25"/>
  <c r="BH201" i="25"/>
  <c r="BG201" i="25"/>
  <c r="BF201" i="25"/>
  <c r="T201" i="25"/>
  <c r="R201" i="25"/>
  <c r="P201" i="25"/>
  <c r="J201" i="25"/>
  <c r="BE201" i="25" s="1"/>
  <c r="BK198" i="25"/>
  <c r="BI198" i="25"/>
  <c r="BH198" i="25"/>
  <c r="BG198" i="25"/>
  <c r="BF198" i="25"/>
  <c r="T198" i="25"/>
  <c r="R198" i="25"/>
  <c r="P198" i="25"/>
  <c r="J198" i="25"/>
  <c r="BE198" i="25" s="1"/>
  <c r="BK195" i="25"/>
  <c r="BI195" i="25"/>
  <c r="BH195" i="25"/>
  <c r="BG195" i="25"/>
  <c r="BF195" i="25"/>
  <c r="BE195" i="25"/>
  <c r="T195" i="25"/>
  <c r="R195" i="25"/>
  <c r="P195" i="25"/>
  <c r="J195" i="25"/>
  <c r="BK192" i="25"/>
  <c r="BI192" i="25"/>
  <c r="BH192" i="25"/>
  <c r="BG192" i="25"/>
  <c r="BF192" i="25"/>
  <c r="T192" i="25"/>
  <c r="R192" i="25"/>
  <c r="P192" i="25"/>
  <c r="J192" i="25"/>
  <c r="BE192" i="25" s="1"/>
  <c r="BK189" i="25"/>
  <c r="BI189" i="25"/>
  <c r="BH189" i="25"/>
  <c r="BG189" i="25"/>
  <c r="BF189" i="25"/>
  <c r="T189" i="25"/>
  <c r="R189" i="25"/>
  <c r="P189" i="25"/>
  <c r="J189" i="25"/>
  <c r="BE189" i="25" s="1"/>
  <c r="BK186" i="25"/>
  <c r="BI186" i="25"/>
  <c r="BH186" i="25"/>
  <c r="BG186" i="25"/>
  <c r="BF186" i="25"/>
  <c r="BE186" i="25"/>
  <c r="T186" i="25"/>
  <c r="R186" i="25"/>
  <c r="P186" i="25"/>
  <c r="J186" i="25"/>
  <c r="BK184" i="25"/>
  <c r="BI184" i="25"/>
  <c r="BH184" i="25"/>
  <c r="BG184" i="25"/>
  <c r="BF184" i="25"/>
  <c r="BE184" i="25"/>
  <c r="T184" i="25"/>
  <c r="R184" i="25"/>
  <c r="P184" i="25"/>
  <c r="J184" i="25"/>
  <c r="BK182" i="25"/>
  <c r="BI182" i="25"/>
  <c r="BH182" i="25"/>
  <c r="BG182" i="25"/>
  <c r="BF182" i="25"/>
  <c r="T182" i="25"/>
  <c r="R182" i="25"/>
  <c r="R178" i="25" s="1"/>
  <c r="P182" i="25"/>
  <c r="P178" i="25" s="1"/>
  <c r="J182" i="25"/>
  <c r="BE182" i="25" s="1"/>
  <c r="BK179" i="25"/>
  <c r="BI179" i="25"/>
  <c r="BH179" i="25"/>
  <c r="BG179" i="25"/>
  <c r="BF179" i="25"/>
  <c r="T179" i="25"/>
  <c r="T178" i="25" s="1"/>
  <c r="R179" i="25"/>
  <c r="P179" i="25"/>
  <c r="J179" i="25"/>
  <c r="BE179" i="25" s="1"/>
  <c r="BK178" i="25"/>
  <c r="J178" i="25" s="1"/>
  <c r="J102" i="25" s="1"/>
  <c r="BK176" i="25"/>
  <c r="BI176" i="25"/>
  <c r="BH176" i="25"/>
  <c r="BG176" i="25"/>
  <c r="BF176" i="25"/>
  <c r="T176" i="25"/>
  <c r="R176" i="25"/>
  <c r="P176" i="25"/>
  <c r="J176" i="25"/>
  <c r="BE176" i="25" s="1"/>
  <c r="BK174" i="25"/>
  <c r="BI174" i="25"/>
  <c r="BH174" i="25"/>
  <c r="BG174" i="25"/>
  <c r="BF174" i="25"/>
  <c r="T174" i="25"/>
  <c r="R174" i="25"/>
  <c r="P174" i="25"/>
  <c r="J174" i="25"/>
  <c r="BE174" i="25" s="1"/>
  <c r="BK172" i="25"/>
  <c r="BI172" i="25"/>
  <c r="BH172" i="25"/>
  <c r="BG172" i="25"/>
  <c r="BF172" i="25"/>
  <c r="T172" i="25"/>
  <c r="R172" i="25"/>
  <c r="P172" i="25"/>
  <c r="J172" i="25"/>
  <c r="BE172" i="25" s="1"/>
  <c r="BK170" i="25"/>
  <c r="BI170" i="25"/>
  <c r="BH170" i="25"/>
  <c r="BG170" i="25"/>
  <c r="BF170" i="25"/>
  <c r="BE170" i="25"/>
  <c r="T170" i="25"/>
  <c r="R170" i="25"/>
  <c r="P170" i="25"/>
  <c r="J170" i="25"/>
  <c r="BK168" i="25"/>
  <c r="BI168" i="25"/>
  <c r="BH168" i="25"/>
  <c r="BG168" i="25"/>
  <c r="BF168" i="25"/>
  <c r="T168" i="25"/>
  <c r="R168" i="25"/>
  <c r="P168" i="25"/>
  <c r="J168" i="25"/>
  <c r="BE168" i="25" s="1"/>
  <c r="BK166" i="25"/>
  <c r="BI166" i="25"/>
  <c r="BH166" i="25"/>
  <c r="BG166" i="25"/>
  <c r="BF166" i="25"/>
  <c r="T166" i="25"/>
  <c r="R166" i="25"/>
  <c r="P166" i="25"/>
  <c r="J166" i="25"/>
  <c r="BE166" i="25" s="1"/>
  <c r="BK164" i="25"/>
  <c r="BI164" i="25"/>
  <c r="BH164" i="25"/>
  <c r="BG164" i="25"/>
  <c r="BF164" i="25"/>
  <c r="T164" i="25"/>
  <c r="R164" i="25"/>
  <c r="P164" i="25"/>
  <c r="J164" i="25"/>
  <c r="BE164" i="25" s="1"/>
  <c r="BK162" i="25"/>
  <c r="BI162" i="25"/>
  <c r="BH162" i="25"/>
  <c r="BG162" i="25"/>
  <c r="BF162" i="25"/>
  <c r="BE162" i="25"/>
  <c r="T162" i="25"/>
  <c r="R162" i="25"/>
  <c r="P162" i="25"/>
  <c r="P158" i="25" s="1"/>
  <c r="J162" i="25"/>
  <c r="BK159" i="25"/>
  <c r="BI159" i="25"/>
  <c r="BH159" i="25"/>
  <c r="BG159" i="25"/>
  <c r="BF159" i="25"/>
  <c r="T159" i="25"/>
  <c r="R159" i="25"/>
  <c r="R158" i="25" s="1"/>
  <c r="P159" i="25"/>
  <c r="J159" i="25"/>
  <c r="BE159" i="25" s="1"/>
  <c r="BK158" i="25"/>
  <c r="J158" i="25" s="1"/>
  <c r="J101" i="25" s="1"/>
  <c r="T158" i="25"/>
  <c r="BK155" i="25"/>
  <c r="BI155" i="25"/>
  <c r="BH155" i="25"/>
  <c r="BG155" i="25"/>
  <c r="BF155" i="25"/>
  <c r="BE155" i="25"/>
  <c r="T155" i="25"/>
  <c r="R155" i="25"/>
  <c r="P155" i="25"/>
  <c r="J155" i="25"/>
  <c r="BK152" i="25"/>
  <c r="BI152" i="25"/>
  <c r="BH152" i="25"/>
  <c r="BG152" i="25"/>
  <c r="BF152" i="25"/>
  <c r="T152" i="25"/>
  <c r="R152" i="25"/>
  <c r="P152" i="25"/>
  <c r="J152" i="25"/>
  <c r="BE152" i="25" s="1"/>
  <c r="BK149" i="25"/>
  <c r="BI149" i="25"/>
  <c r="BH149" i="25"/>
  <c r="BG149" i="25"/>
  <c r="BF149" i="25"/>
  <c r="T149" i="25"/>
  <c r="R149" i="25"/>
  <c r="P149" i="25"/>
  <c r="J149" i="25"/>
  <c r="BE149" i="25" s="1"/>
  <c r="BK146" i="25"/>
  <c r="BI146" i="25"/>
  <c r="BH146" i="25"/>
  <c r="BG146" i="25"/>
  <c r="BF146" i="25"/>
  <c r="BE146" i="25"/>
  <c r="T146" i="25"/>
  <c r="R146" i="25"/>
  <c r="P146" i="25"/>
  <c r="J146" i="25"/>
  <c r="BK143" i="25"/>
  <c r="BI143" i="25"/>
  <c r="BH143" i="25"/>
  <c r="BG143" i="25"/>
  <c r="BF143" i="25"/>
  <c r="BE143" i="25"/>
  <c r="T143" i="25"/>
  <c r="R143" i="25"/>
  <c r="P143" i="25"/>
  <c r="J143" i="25"/>
  <c r="BK140" i="25"/>
  <c r="BI140" i="25"/>
  <c r="BH140" i="25"/>
  <c r="BG140" i="25"/>
  <c r="BF140" i="25"/>
  <c r="T140" i="25"/>
  <c r="T136" i="25" s="1"/>
  <c r="R140" i="25"/>
  <c r="P140" i="25"/>
  <c r="J140" i="25"/>
  <c r="BE140" i="25" s="1"/>
  <c r="BK137" i="25"/>
  <c r="BK136" i="25" s="1"/>
  <c r="J136" i="25" s="1"/>
  <c r="J100" i="25" s="1"/>
  <c r="BI137" i="25"/>
  <c r="BH137" i="25"/>
  <c r="BG137" i="25"/>
  <c r="BF137" i="25"/>
  <c r="T137" i="25"/>
  <c r="R137" i="25"/>
  <c r="R136" i="25" s="1"/>
  <c r="P137" i="25"/>
  <c r="P136" i="25" s="1"/>
  <c r="J137" i="25"/>
  <c r="BE137" i="25" s="1"/>
  <c r="BK134" i="25"/>
  <c r="BK133" i="25" s="1"/>
  <c r="J133" i="25" s="1"/>
  <c r="J99" i="25" s="1"/>
  <c r="BI134" i="25"/>
  <c r="BH134" i="25"/>
  <c r="BG134" i="25"/>
  <c r="BF134" i="25"/>
  <c r="T134" i="25"/>
  <c r="R134" i="25"/>
  <c r="P134" i="25"/>
  <c r="P133" i="25" s="1"/>
  <c r="J134" i="25"/>
  <c r="BE134" i="25" s="1"/>
  <c r="T133" i="25"/>
  <c r="R133" i="25"/>
  <c r="BK131" i="25"/>
  <c r="BI131" i="25"/>
  <c r="F37" i="25" s="1"/>
  <c r="BD98" i="21" s="1"/>
  <c r="BH131" i="25"/>
  <c r="F36" i="25" s="1"/>
  <c r="BC98" i="21" s="1"/>
  <c r="BG131" i="25"/>
  <c r="BF131" i="25"/>
  <c r="T131" i="25"/>
  <c r="T127" i="25" s="1"/>
  <c r="R131" i="25"/>
  <c r="P131" i="25"/>
  <c r="J131" i="25"/>
  <c r="BE131" i="25" s="1"/>
  <c r="BK128" i="25"/>
  <c r="BK127" i="25" s="1"/>
  <c r="BI128" i="25"/>
  <c r="BH128" i="25"/>
  <c r="BG128" i="25"/>
  <c r="F35" i="25" s="1"/>
  <c r="BB98" i="21" s="1"/>
  <c r="BF128" i="25"/>
  <c r="F34" i="25" s="1"/>
  <c r="BA98" i="21" s="1"/>
  <c r="BE128" i="25"/>
  <c r="T128" i="25"/>
  <c r="R128" i="25"/>
  <c r="R127" i="25" s="1"/>
  <c r="R126" i="25" s="1"/>
  <c r="P128" i="25"/>
  <c r="P127" i="25" s="1"/>
  <c r="P126" i="25" s="1"/>
  <c r="P125" i="25" s="1"/>
  <c r="AU98" i="21" s="1"/>
  <c r="J128" i="25"/>
  <c r="J122" i="25"/>
  <c r="J121" i="25"/>
  <c r="F121" i="25"/>
  <c r="F119" i="25"/>
  <c r="E117" i="25"/>
  <c r="E115" i="25"/>
  <c r="J92" i="25"/>
  <c r="J91" i="25"/>
  <c r="F91" i="25"/>
  <c r="J89" i="25"/>
  <c r="F89" i="25"/>
  <c r="E87" i="25"/>
  <c r="J37" i="25"/>
  <c r="J36" i="25"/>
  <c r="J35" i="25"/>
  <c r="AX98" i="21" s="1"/>
  <c r="J18" i="25"/>
  <c r="E18" i="25"/>
  <c r="F92" i="25" s="1"/>
  <c r="J17" i="25"/>
  <c r="J12" i="25"/>
  <c r="J119" i="25" s="1"/>
  <c r="E7" i="25"/>
  <c r="E85" i="25" s="1"/>
  <c r="BK242" i="24"/>
  <c r="BK241" i="24" s="1"/>
  <c r="J241" i="24" s="1"/>
  <c r="J104" i="24" s="1"/>
  <c r="BI242" i="24"/>
  <c r="BH242" i="24"/>
  <c r="BG242" i="24"/>
  <c r="BF242" i="24"/>
  <c r="BE242" i="24"/>
  <c r="T242" i="24"/>
  <c r="R242" i="24"/>
  <c r="P242" i="24"/>
  <c r="P241" i="24" s="1"/>
  <c r="J242" i="24"/>
  <c r="T241" i="24"/>
  <c r="R241" i="24"/>
  <c r="BK239" i="24"/>
  <c r="BI239" i="24"/>
  <c r="BH239" i="24"/>
  <c r="BG239" i="24"/>
  <c r="BF239" i="24"/>
  <c r="BE239" i="24"/>
  <c r="T239" i="24"/>
  <c r="R239" i="24"/>
  <c r="P239" i="24"/>
  <c r="J239" i="24"/>
  <c r="BK237" i="24"/>
  <c r="BI237" i="24"/>
  <c r="BH237" i="24"/>
  <c r="BG237" i="24"/>
  <c r="BF237" i="24"/>
  <c r="BE237" i="24"/>
  <c r="T237" i="24"/>
  <c r="R237" i="24"/>
  <c r="P237" i="24"/>
  <c r="J237" i="24"/>
  <c r="BK235" i="24"/>
  <c r="BK232" i="24" s="1"/>
  <c r="J232" i="24" s="1"/>
  <c r="J103" i="24" s="1"/>
  <c r="BI235" i="24"/>
  <c r="BH235" i="24"/>
  <c r="BG235" i="24"/>
  <c r="BF235" i="24"/>
  <c r="T235" i="24"/>
  <c r="R235" i="24"/>
  <c r="P235" i="24"/>
  <c r="J235" i="24"/>
  <c r="BE235" i="24" s="1"/>
  <c r="BK233" i="24"/>
  <c r="BI233" i="24"/>
  <c r="BH233" i="24"/>
  <c r="BG233" i="24"/>
  <c r="BF233" i="24"/>
  <c r="T233" i="24"/>
  <c r="T232" i="24" s="1"/>
  <c r="R233" i="24"/>
  <c r="R232" i="24" s="1"/>
  <c r="P233" i="24"/>
  <c r="J233" i="24"/>
  <c r="BE233" i="24" s="1"/>
  <c r="BK230" i="24"/>
  <c r="BI230" i="24"/>
  <c r="BH230" i="24"/>
  <c r="BG230" i="24"/>
  <c r="BF230" i="24"/>
  <c r="T230" i="24"/>
  <c r="R230" i="24"/>
  <c r="P230" i="24"/>
  <c r="J230" i="24"/>
  <c r="BE230" i="24" s="1"/>
  <c r="BK226" i="24"/>
  <c r="BI226" i="24"/>
  <c r="BH226" i="24"/>
  <c r="BG226" i="24"/>
  <c r="BF226" i="24"/>
  <c r="BE226" i="24"/>
  <c r="T226" i="24"/>
  <c r="R226" i="24"/>
  <c r="P226" i="24"/>
  <c r="J226" i="24"/>
  <c r="BK224" i="24"/>
  <c r="BI224" i="24"/>
  <c r="BH224" i="24"/>
  <c r="BG224" i="24"/>
  <c r="BF224" i="24"/>
  <c r="BE224" i="24"/>
  <c r="T224" i="24"/>
  <c r="R224" i="24"/>
  <c r="R221" i="24" s="1"/>
  <c r="P224" i="24"/>
  <c r="P221" i="24" s="1"/>
  <c r="J224" i="24"/>
  <c r="BK222" i="24"/>
  <c r="BI222" i="24"/>
  <c r="BH222" i="24"/>
  <c r="BG222" i="24"/>
  <c r="BF222" i="24"/>
  <c r="T222" i="24"/>
  <c r="T221" i="24" s="1"/>
  <c r="R222" i="24"/>
  <c r="P222" i="24"/>
  <c r="J222" i="24"/>
  <c r="BE222" i="24" s="1"/>
  <c r="BK221" i="24"/>
  <c r="J221" i="24" s="1"/>
  <c r="J102" i="24" s="1"/>
  <c r="BK219" i="24"/>
  <c r="BI219" i="24"/>
  <c r="BH219" i="24"/>
  <c r="BG219" i="24"/>
  <c r="BF219" i="24"/>
  <c r="BE219" i="24"/>
  <c r="T219" i="24"/>
  <c r="R219" i="24"/>
  <c r="P219" i="24"/>
  <c r="J219" i="24"/>
  <c r="BK217" i="24"/>
  <c r="BI217" i="24"/>
  <c r="BH217" i="24"/>
  <c r="BG217" i="24"/>
  <c r="BF217" i="24"/>
  <c r="T217" i="24"/>
  <c r="R217" i="24"/>
  <c r="P217" i="24"/>
  <c r="J217" i="24"/>
  <c r="BE217" i="24" s="1"/>
  <c r="BK214" i="24"/>
  <c r="BI214" i="24"/>
  <c r="BH214" i="24"/>
  <c r="BG214" i="24"/>
  <c r="BF214" i="24"/>
  <c r="T214" i="24"/>
  <c r="T211" i="24" s="1"/>
  <c r="R214" i="24"/>
  <c r="R211" i="24" s="1"/>
  <c r="P214" i="24"/>
  <c r="J214" i="24"/>
  <c r="BE214" i="24" s="1"/>
  <c r="BK212" i="24"/>
  <c r="BK211" i="24" s="1"/>
  <c r="J211" i="24" s="1"/>
  <c r="J101" i="24" s="1"/>
  <c r="BI212" i="24"/>
  <c r="BH212" i="24"/>
  <c r="BG212" i="24"/>
  <c r="BF212" i="24"/>
  <c r="BE212" i="24"/>
  <c r="T212" i="24"/>
  <c r="R212" i="24"/>
  <c r="P212" i="24"/>
  <c r="J212" i="24"/>
  <c r="P211" i="24"/>
  <c r="BK209" i="24"/>
  <c r="BI209" i="24"/>
  <c r="BH209" i="24"/>
  <c r="BG209" i="24"/>
  <c r="BF209" i="24"/>
  <c r="BE209" i="24"/>
  <c r="T209" i="24"/>
  <c r="R209" i="24"/>
  <c r="P209" i="24"/>
  <c r="J209" i="24"/>
  <c r="BK207" i="24"/>
  <c r="BI207" i="24"/>
  <c r="BH207" i="24"/>
  <c r="BG207" i="24"/>
  <c r="BF207" i="24"/>
  <c r="BE207" i="24"/>
  <c r="T207" i="24"/>
  <c r="R207" i="24"/>
  <c r="P207" i="24"/>
  <c r="J207" i="24"/>
  <c r="BK205" i="24"/>
  <c r="BI205" i="24"/>
  <c r="BH205" i="24"/>
  <c r="BG205" i="24"/>
  <c r="BF205" i="24"/>
  <c r="T205" i="24"/>
  <c r="R205" i="24"/>
  <c r="P205" i="24"/>
  <c r="J205" i="24"/>
  <c r="BE205" i="24" s="1"/>
  <c r="BK203" i="24"/>
  <c r="BI203" i="24"/>
  <c r="BH203" i="24"/>
  <c r="BG203" i="24"/>
  <c r="BF203" i="24"/>
  <c r="T203" i="24"/>
  <c r="R203" i="24"/>
  <c r="P203" i="24"/>
  <c r="J203" i="24"/>
  <c r="BE203" i="24" s="1"/>
  <c r="BK201" i="24"/>
  <c r="BI201" i="24"/>
  <c r="BH201" i="24"/>
  <c r="BG201" i="24"/>
  <c r="BF201" i="24"/>
  <c r="BE201" i="24"/>
  <c r="T201" i="24"/>
  <c r="R201" i="24"/>
  <c r="P201" i="24"/>
  <c r="J201" i="24"/>
  <c r="BK198" i="24"/>
  <c r="BI198" i="24"/>
  <c r="BH198" i="24"/>
  <c r="BG198" i="24"/>
  <c r="BF198" i="24"/>
  <c r="BE198" i="24"/>
  <c r="T198" i="24"/>
  <c r="R198" i="24"/>
  <c r="P198" i="24"/>
  <c r="J198" i="24"/>
  <c r="BK195" i="24"/>
  <c r="BI195" i="24"/>
  <c r="BH195" i="24"/>
  <c r="BG195" i="24"/>
  <c r="BF195" i="24"/>
  <c r="T195" i="24"/>
  <c r="R195" i="24"/>
  <c r="P195" i="24"/>
  <c r="J195" i="24"/>
  <c r="BE195" i="24" s="1"/>
  <c r="BK193" i="24"/>
  <c r="BI193" i="24"/>
  <c r="BH193" i="24"/>
  <c r="BG193" i="24"/>
  <c r="BF193" i="24"/>
  <c r="T193" i="24"/>
  <c r="R193" i="24"/>
  <c r="P193" i="24"/>
  <c r="J193" i="24"/>
  <c r="BE193" i="24" s="1"/>
  <c r="BK191" i="24"/>
  <c r="BI191" i="24"/>
  <c r="BH191" i="24"/>
  <c r="BG191" i="24"/>
  <c r="BF191" i="24"/>
  <c r="BE191" i="24"/>
  <c r="T191" i="24"/>
  <c r="T188" i="24" s="1"/>
  <c r="R191" i="24"/>
  <c r="P191" i="24"/>
  <c r="J191" i="24"/>
  <c r="BK189" i="24"/>
  <c r="BK188" i="24" s="1"/>
  <c r="J188" i="24" s="1"/>
  <c r="J100" i="24" s="1"/>
  <c r="BI189" i="24"/>
  <c r="BH189" i="24"/>
  <c r="BG189" i="24"/>
  <c r="BF189" i="24"/>
  <c r="BE189" i="24"/>
  <c r="T189" i="24"/>
  <c r="R189" i="24"/>
  <c r="P189" i="24"/>
  <c r="P188" i="24" s="1"/>
  <c r="J189" i="24"/>
  <c r="R188" i="24"/>
  <c r="BK186" i="24"/>
  <c r="BI186" i="24"/>
  <c r="BH186" i="24"/>
  <c r="BG186" i="24"/>
  <c r="BF186" i="24"/>
  <c r="BE186" i="24"/>
  <c r="T186" i="24"/>
  <c r="R186" i="24"/>
  <c r="P186" i="24"/>
  <c r="J186" i="24"/>
  <c r="BK184" i="24"/>
  <c r="BI184" i="24"/>
  <c r="BH184" i="24"/>
  <c r="BG184" i="24"/>
  <c r="BF184" i="24"/>
  <c r="T184" i="24"/>
  <c r="R184" i="24"/>
  <c r="P184" i="24"/>
  <c r="J184" i="24"/>
  <c r="BE184" i="24" s="1"/>
  <c r="BK182" i="24"/>
  <c r="BI182" i="24"/>
  <c r="BH182" i="24"/>
  <c r="BG182" i="24"/>
  <c r="BF182" i="24"/>
  <c r="T182" i="24"/>
  <c r="R182" i="24"/>
  <c r="P182" i="24"/>
  <c r="J182" i="24"/>
  <c r="BE182" i="24" s="1"/>
  <c r="BK180" i="24"/>
  <c r="BI180" i="24"/>
  <c r="BH180" i="24"/>
  <c r="BG180" i="24"/>
  <c r="BF180" i="24"/>
  <c r="BE180" i="24"/>
  <c r="T180" i="24"/>
  <c r="R180" i="24"/>
  <c r="P180" i="24"/>
  <c r="J180" i="24"/>
  <c r="BK177" i="24"/>
  <c r="BI177" i="24"/>
  <c r="BH177" i="24"/>
  <c r="BG177" i="24"/>
  <c r="BF177" i="24"/>
  <c r="BE177" i="24"/>
  <c r="T177" i="24"/>
  <c r="R177" i="24"/>
  <c r="P177" i="24"/>
  <c r="J177" i="24"/>
  <c r="BK174" i="24"/>
  <c r="BI174" i="24"/>
  <c r="BH174" i="24"/>
  <c r="BG174" i="24"/>
  <c r="BF174" i="24"/>
  <c r="T174" i="24"/>
  <c r="R174" i="24"/>
  <c r="P174" i="24"/>
  <c r="J174" i="24"/>
  <c r="BE174" i="24" s="1"/>
  <c r="BK172" i="24"/>
  <c r="BI172" i="24"/>
  <c r="BH172" i="24"/>
  <c r="BG172" i="24"/>
  <c r="BF172" i="24"/>
  <c r="T172" i="24"/>
  <c r="R172" i="24"/>
  <c r="P172" i="24"/>
  <c r="J172" i="24"/>
  <c r="BE172" i="24" s="1"/>
  <c r="BK170" i="24"/>
  <c r="BI170" i="24"/>
  <c r="BH170" i="24"/>
  <c r="BG170" i="24"/>
  <c r="BF170" i="24"/>
  <c r="BE170" i="24"/>
  <c r="T170" i="24"/>
  <c r="R170" i="24"/>
  <c r="P170" i="24"/>
  <c r="J170" i="24"/>
  <c r="BK168" i="24"/>
  <c r="BI168" i="24"/>
  <c r="BH168" i="24"/>
  <c r="BG168" i="24"/>
  <c r="BF168" i="24"/>
  <c r="BE168" i="24"/>
  <c r="T168" i="24"/>
  <c r="R168" i="24"/>
  <c r="P168" i="24"/>
  <c r="P165" i="24" s="1"/>
  <c r="J168" i="24"/>
  <c r="BK166" i="24"/>
  <c r="BI166" i="24"/>
  <c r="BH166" i="24"/>
  <c r="BG166" i="24"/>
  <c r="BF166" i="24"/>
  <c r="T166" i="24"/>
  <c r="R166" i="24"/>
  <c r="R165" i="24" s="1"/>
  <c r="P166" i="24"/>
  <c r="J166" i="24"/>
  <c r="BE166" i="24" s="1"/>
  <c r="BK165" i="24"/>
  <c r="J165" i="24" s="1"/>
  <c r="J99" i="24" s="1"/>
  <c r="T165" i="24"/>
  <c r="BK163" i="24"/>
  <c r="BI163" i="24"/>
  <c r="BH163" i="24"/>
  <c r="BG163" i="24"/>
  <c r="BF163" i="24"/>
  <c r="BE163" i="24"/>
  <c r="T163" i="24"/>
  <c r="R163" i="24"/>
  <c r="P163" i="24"/>
  <c r="J163" i="24"/>
  <c r="BK161" i="24"/>
  <c r="BI161" i="24"/>
  <c r="BH161" i="24"/>
  <c r="BG161" i="24"/>
  <c r="BF161" i="24"/>
  <c r="T161" i="24"/>
  <c r="R161" i="24"/>
  <c r="P161" i="24"/>
  <c r="J161" i="24"/>
  <c r="BE161" i="24" s="1"/>
  <c r="BK160" i="24"/>
  <c r="BI160" i="24"/>
  <c r="BH160" i="24"/>
  <c r="BG160" i="24"/>
  <c r="BF160" i="24"/>
  <c r="T160" i="24"/>
  <c r="R160" i="24"/>
  <c r="P160" i="24"/>
  <c r="J160" i="24"/>
  <c r="BE160" i="24" s="1"/>
  <c r="BK157" i="24"/>
  <c r="BI157" i="24"/>
  <c r="BH157" i="24"/>
  <c r="BG157" i="24"/>
  <c r="BF157" i="24"/>
  <c r="BE157" i="24"/>
  <c r="T157" i="24"/>
  <c r="R157" i="24"/>
  <c r="P157" i="24"/>
  <c r="J157" i="24"/>
  <c r="BK155" i="24"/>
  <c r="BI155" i="24"/>
  <c r="BH155" i="24"/>
  <c r="BG155" i="24"/>
  <c r="BF155" i="24"/>
  <c r="T155" i="24"/>
  <c r="R155" i="24"/>
  <c r="P155" i="24"/>
  <c r="J155" i="24"/>
  <c r="BE155" i="24" s="1"/>
  <c r="BK153" i="24"/>
  <c r="BI153" i="24"/>
  <c r="BH153" i="24"/>
  <c r="BG153" i="24"/>
  <c r="BF153" i="24"/>
  <c r="T153" i="24"/>
  <c r="R153" i="24"/>
  <c r="P153" i="24"/>
  <c r="J153" i="24"/>
  <c r="BE153" i="24" s="1"/>
  <c r="BK151" i="24"/>
  <c r="BI151" i="24"/>
  <c r="BH151" i="24"/>
  <c r="BG151" i="24"/>
  <c r="BF151" i="24"/>
  <c r="T151" i="24"/>
  <c r="R151" i="24"/>
  <c r="P151" i="24"/>
  <c r="J151" i="24"/>
  <c r="BE151" i="24" s="1"/>
  <c r="BK148" i="24"/>
  <c r="BI148" i="24"/>
  <c r="BH148" i="24"/>
  <c r="BG148" i="24"/>
  <c r="BF148" i="24"/>
  <c r="BE148" i="24"/>
  <c r="T148" i="24"/>
  <c r="R148" i="24"/>
  <c r="P148" i="24"/>
  <c r="J148" i="24"/>
  <c r="BK145" i="24"/>
  <c r="BI145" i="24"/>
  <c r="BH145" i="24"/>
  <c r="BG145" i="24"/>
  <c r="BF145" i="24"/>
  <c r="T145" i="24"/>
  <c r="R145" i="24"/>
  <c r="P145" i="24"/>
  <c r="J145" i="24"/>
  <c r="BE145" i="24" s="1"/>
  <c r="BK143" i="24"/>
  <c r="BI143" i="24"/>
  <c r="BH143" i="24"/>
  <c r="BG143" i="24"/>
  <c r="BF143" i="24"/>
  <c r="T143" i="24"/>
  <c r="R143" i="24"/>
  <c r="P143" i="24"/>
  <c r="J143" i="24"/>
  <c r="BE143" i="24" s="1"/>
  <c r="BK141" i="24"/>
  <c r="BI141" i="24"/>
  <c r="BH141" i="24"/>
  <c r="BG141" i="24"/>
  <c r="BF141" i="24"/>
  <c r="T141" i="24"/>
  <c r="R141" i="24"/>
  <c r="P141" i="24"/>
  <c r="J141" i="24"/>
  <c r="BE141" i="24" s="1"/>
  <c r="BK139" i="24"/>
  <c r="BI139" i="24"/>
  <c r="BH139" i="24"/>
  <c r="BG139" i="24"/>
  <c r="BF139" i="24"/>
  <c r="BE139" i="24"/>
  <c r="T139" i="24"/>
  <c r="R139" i="24"/>
  <c r="P139" i="24"/>
  <c r="J139" i="24"/>
  <c r="BK136" i="24"/>
  <c r="BI136" i="24"/>
  <c r="BH136" i="24"/>
  <c r="BG136" i="24"/>
  <c r="BF136" i="24"/>
  <c r="T136" i="24"/>
  <c r="R136" i="24"/>
  <c r="P136" i="24"/>
  <c r="J136" i="24"/>
  <c r="BE136" i="24" s="1"/>
  <c r="BK133" i="24"/>
  <c r="BI133" i="24"/>
  <c r="BH133" i="24"/>
  <c r="BG133" i="24"/>
  <c r="BF133" i="24"/>
  <c r="T133" i="24"/>
  <c r="R133" i="24"/>
  <c r="P133" i="24"/>
  <c r="J133" i="24"/>
  <c r="BE133" i="24" s="1"/>
  <c r="BK131" i="24"/>
  <c r="BI131" i="24"/>
  <c r="BH131" i="24"/>
  <c r="BG131" i="24"/>
  <c r="BF131" i="24"/>
  <c r="T131" i="24"/>
  <c r="R131" i="24"/>
  <c r="P131" i="24"/>
  <c r="J131" i="24"/>
  <c r="BE131" i="24" s="1"/>
  <c r="BK129" i="24"/>
  <c r="BI129" i="24"/>
  <c r="BH129" i="24"/>
  <c r="F36" i="24" s="1"/>
  <c r="BC97" i="21" s="1"/>
  <c r="BG129" i="24"/>
  <c r="BF129" i="24"/>
  <c r="BE129" i="24"/>
  <c r="T129" i="24"/>
  <c r="T126" i="24" s="1"/>
  <c r="R129" i="24"/>
  <c r="P129" i="24"/>
  <c r="J129" i="24"/>
  <c r="BK127" i="24"/>
  <c r="BK126" i="24" s="1"/>
  <c r="BI127" i="24"/>
  <c r="BH127" i="24"/>
  <c r="BG127" i="24"/>
  <c r="F35" i="24" s="1"/>
  <c r="BB97" i="21" s="1"/>
  <c r="BF127" i="24"/>
  <c r="J34" i="24" s="1"/>
  <c r="AW97" i="21" s="1"/>
  <c r="T127" i="24"/>
  <c r="R127" i="24"/>
  <c r="P127" i="24"/>
  <c r="P126" i="24" s="1"/>
  <c r="J127" i="24"/>
  <c r="BE127" i="24" s="1"/>
  <c r="R126" i="24"/>
  <c r="J121" i="24"/>
  <c r="J120" i="24"/>
  <c r="F120" i="24"/>
  <c r="F118" i="24"/>
  <c r="E116" i="24"/>
  <c r="E114" i="24"/>
  <c r="J92" i="24"/>
  <c r="F92" i="24"/>
  <c r="J91" i="24"/>
  <c r="F91" i="24"/>
  <c r="J89" i="24"/>
  <c r="F89" i="24"/>
  <c r="E87" i="24"/>
  <c r="J37" i="24"/>
  <c r="F37" i="24"/>
  <c r="BD97" i="21" s="1"/>
  <c r="J36" i="24"/>
  <c r="J35" i="24"/>
  <c r="J18" i="24"/>
  <c r="E18" i="24"/>
  <c r="F121" i="24" s="1"/>
  <c r="J17" i="24"/>
  <c r="J12" i="24"/>
  <c r="J118" i="24" s="1"/>
  <c r="E7" i="24"/>
  <c r="E85" i="24" s="1"/>
  <c r="BK171" i="23"/>
  <c r="BK170" i="23" s="1"/>
  <c r="BI171" i="23"/>
  <c r="BH171" i="23"/>
  <c r="BG171" i="23"/>
  <c r="BF171" i="23"/>
  <c r="T171" i="23"/>
  <c r="R171" i="23"/>
  <c r="P171" i="23"/>
  <c r="P170" i="23" s="1"/>
  <c r="P169" i="23" s="1"/>
  <c r="J171" i="23"/>
  <c r="BE171" i="23" s="1"/>
  <c r="T170" i="23"/>
  <c r="R170" i="23"/>
  <c r="T169" i="23"/>
  <c r="R169" i="23"/>
  <c r="BK165" i="23"/>
  <c r="BI165" i="23"/>
  <c r="BH165" i="23"/>
  <c r="BG165" i="23"/>
  <c r="BF165" i="23"/>
  <c r="BE165" i="23"/>
  <c r="T165" i="23"/>
  <c r="R165" i="23"/>
  <c r="P165" i="23"/>
  <c r="J165" i="23"/>
  <c r="BK162" i="23"/>
  <c r="BI162" i="23"/>
  <c r="BH162" i="23"/>
  <c r="BG162" i="23"/>
  <c r="BF162" i="23"/>
  <c r="BE162" i="23"/>
  <c r="T162" i="23"/>
  <c r="T158" i="23" s="1"/>
  <c r="R162" i="23"/>
  <c r="R158" i="23" s="1"/>
  <c r="P162" i="23"/>
  <c r="J162" i="23"/>
  <c r="BK159" i="23"/>
  <c r="BK158" i="23" s="1"/>
  <c r="J158" i="23" s="1"/>
  <c r="J100" i="23" s="1"/>
  <c r="BI159" i="23"/>
  <c r="BH159" i="23"/>
  <c r="BG159" i="23"/>
  <c r="BF159" i="23"/>
  <c r="T159" i="23"/>
  <c r="R159" i="23"/>
  <c r="P159" i="23"/>
  <c r="P158" i="23" s="1"/>
  <c r="J159" i="23"/>
  <c r="BE159" i="23" s="1"/>
  <c r="BK155" i="23"/>
  <c r="BI155" i="23"/>
  <c r="BH155" i="23"/>
  <c r="BG155" i="23"/>
  <c r="BF155" i="23"/>
  <c r="T155" i="23"/>
  <c r="R155" i="23"/>
  <c r="P155" i="23"/>
  <c r="J155" i="23"/>
  <c r="BE155" i="23" s="1"/>
  <c r="BK153" i="23"/>
  <c r="BI153" i="23"/>
  <c r="BH153" i="23"/>
  <c r="BG153" i="23"/>
  <c r="BF153" i="23"/>
  <c r="T153" i="23"/>
  <c r="R153" i="23"/>
  <c r="P153" i="23"/>
  <c r="J153" i="23"/>
  <c r="BE153" i="23" s="1"/>
  <c r="BK150" i="23"/>
  <c r="BI150" i="23"/>
  <c r="BH150" i="23"/>
  <c r="BG150" i="23"/>
  <c r="BF150" i="23"/>
  <c r="BE150" i="23"/>
  <c r="T150" i="23"/>
  <c r="R150" i="23"/>
  <c r="P150" i="23"/>
  <c r="J150" i="23"/>
  <c r="BK148" i="23"/>
  <c r="BI148" i="23"/>
  <c r="BH148" i="23"/>
  <c r="BG148" i="23"/>
  <c r="BF148" i="23"/>
  <c r="T148" i="23"/>
  <c r="R148" i="23"/>
  <c r="R144" i="23" s="1"/>
  <c r="P148" i="23"/>
  <c r="P144" i="23" s="1"/>
  <c r="J148" i="23"/>
  <c r="BE148" i="23" s="1"/>
  <c r="BK145" i="23"/>
  <c r="BI145" i="23"/>
  <c r="BH145" i="23"/>
  <c r="F36" i="23" s="1"/>
  <c r="BC96" i="21" s="1"/>
  <c r="BG145" i="23"/>
  <c r="BF145" i="23"/>
  <c r="T145" i="23"/>
  <c r="T144" i="23" s="1"/>
  <c r="R145" i="23"/>
  <c r="P145" i="23"/>
  <c r="J145" i="23"/>
  <c r="BE145" i="23" s="1"/>
  <c r="BK144" i="23"/>
  <c r="J144" i="23" s="1"/>
  <c r="J99" i="23" s="1"/>
  <c r="BK141" i="23"/>
  <c r="BI141" i="23"/>
  <c r="BH141" i="23"/>
  <c r="BG141" i="23"/>
  <c r="BF141" i="23"/>
  <c r="BE141" i="23"/>
  <c r="T141" i="23"/>
  <c r="R141" i="23"/>
  <c r="P141" i="23"/>
  <c r="J141" i="23"/>
  <c r="BK139" i="23"/>
  <c r="BI139" i="23"/>
  <c r="BH139" i="23"/>
  <c r="BG139" i="23"/>
  <c r="BF139" i="23"/>
  <c r="T139" i="23"/>
  <c r="R139" i="23"/>
  <c r="P139" i="23"/>
  <c r="J139" i="23"/>
  <c r="BE139" i="23" s="1"/>
  <c r="BK137" i="23"/>
  <c r="BI137" i="23"/>
  <c r="BH137" i="23"/>
  <c r="BG137" i="23"/>
  <c r="BF137" i="23"/>
  <c r="T137" i="23"/>
  <c r="R137" i="23"/>
  <c r="P137" i="23"/>
  <c r="J137" i="23"/>
  <c r="BE137" i="23" s="1"/>
  <c r="BK135" i="23"/>
  <c r="BI135" i="23"/>
  <c r="BH135" i="23"/>
  <c r="BG135" i="23"/>
  <c r="BF135" i="23"/>
  <c r="BE135" i="23"/>
  <c r="T135" i="23"/>
  <c r="R135" i="23"/>
  <c r="P135" i="23"/>
  <c r="J135" i="23"/>
  <c r="BK133" i="23"/>
  <c r="BI133" i="23"/>
  <c r="BH133" i="23"/>
  <c r="BG133" i="23"/>
  <c r="BF133" i="23"/>
  <c r="BE133" i="23"/>
  <c r="T133" i="23"/>
  <c r="R133" i="23"/>
  <c r="P133" i="23"/>
  <c r="J133" i="23"/>
  <c r="BK131" i="23"/>
  <c r="BI131" i="23"/>
  <c r="BH131" i="23"/>
  <c r="BG131" i="23"/>
  <c r="BF131" i="23"/>
  <c r="T131" i="23"/>
  <c r="R131" i="23"/>
  <c r="P131" i="23"/>
  <c r="J131" i="23"/>
  <c r="BE131" i="23" s="1"/>
  <c r="BK128" i="23"/>
  <c r="BI128" i="23"/>
  <c r="BH128" i="23"/>
  <c r="BG128" i="23"/>
  <c r="BF128" i="23"/>
  <c r="T128" i="23"/>
  <c r="T124" i="23" s="1"/>
  <c r="R128" i="23"/>
  <c r="R124" i="23" s="1"/>
  <c r="P128" i="23"/>
  <c r="J128" i="23"/>
  <c r="BE128" i="23" s="1"/>
  <c r="BK125" i="23"/>
  <c r="BK124" i="23" s="1"/>
  <c r="BI125" i="23"/>
  <c r="F37" i="23" s="1"/>
  <c r="BD96" i="21" s="1"/>
  <c r="BH125" i="23"/>
  <c r="BG125" i="23"/>
  <c r="F35" i="23" s="1"/>
  <c r="BB96" i="21" s="1"/>
  <c r="BF125" i="23"/>
  <c r="J34" i="23" s="1"/>
  <c r="AW96" i="21" s="1"/>
  <c r="BE125" i="23"/>
  <c r="T125" i="23"/>
  <c r="R125" i="23"/>
  <c r="P125" i="23"/>
  <c r="J125" i="23"/>
  <c r="P124" i="23"/>
  <c r="J119" i="23"/>
  <c r="J118" i="23"/>
  <c r="F118" i="23"/>
  <c r="J116" i="23"/>
  <c r="F116" i="23"/>
  <c r="E114" i="23"/>
  <c r="J92" i="23"/>
  <c r="J91" i="23"/>
  <c r="F91" i="23"/>
  <c r="J89" i="23"/>
  <c r="F89" i="23"/>
  <c r="E87" i="23"/>
  <c r="J37" i="23"/>
  <c r="J36" i="23"/>
  <c r="J35" i="23"/>
  <c r="AX96" i="21" s="1"/>
  <c r="J18" i="23"/>
  <c r="E18" i="23"/>
  <c r="F92" i="23" s="1"/>
  <c r="J17" i="23"/>
  <c r="J12" i="23"/>
  <c r="E7" i="23"/>
  <c r="E85" i="23" s="1"/>
  <c r="BK131" i="22"/>
  <c r="BK130" i="22" s="1"/>
  <c r="BI131" i="22"/>
  <c r="BH131" i="22"/>
  <c r="BG131" i="22"/>
  <c r="BF131" i="22"/>
  <c r="J34" i="22" s="1"/>
  <c r="AW95" i="21" s="1"/>
  <c r="T131" i="22"/>
  <c r="R131" i="22"/>
  <c r="P131" i="22"/>
  <c r="P130" i="22" s="1"/>
  <c r="P129" i="22" s="1"/>
  <c r="J131" i="22"/>
  <c r="BE131" i="22" s="1"/>
  <c r="T130" i="22"/>
  <c r="T129" i="22" s="1"/>
  <c r="R130" i="22"/>
  <c r="R129" i="22" s="1"/>
  <c r="BK125" i="22"/>
  <c r="BK122" i="22" s="1"/>
  <c r="BI125" i="22"/>
  <c r="BH125" i="22"/>
  <c r="BG125" i="22"/>
  <c r="F35" i="22" s="1"/>
  <c r="BB95" i="21" s="1"/>
  <c r="BF125" i="22"/>
  <c r="T125" i="22"/>
  <c r="R125" i="22"/>
  <c r="R122" i="22" s="1"/>
  <c r="R121" i="22" s="1"/>
  <c r="R120" i="22" s="1"/>
  <c r="P125" i="22"/>
  <c r="P122" i="22" s="1"/>
  <c r="P121" i="22" s="1"/>
  <c r="P120" i="22" s="1"/>
  <c r="AU95" i="21" s="1"/>
  <c r="J125" i="22"/>
  <c r="BE125" i="22" s="1"/>
  <c r="BK123" i="22"/>
  <c r="BI123" i="22"/>
  <c r="F37" i="22" s="1"/>
  <c r="BD95" i="21" s="1"/>
  <c r="BH123" i="22"/>
  <c r="BG123" i="22"/>
  <c r="BF123" i="22"/>
  <c r="BE123" i="22"/>
  <c r="T123" i="22"/>
  <c r="T122" i="22" s="1"/>
  <c r="T121" i="22" s="1"/>
  <c r="R123" i="22"/>
  <c r="P123" i="22"/>
  <c r="J123" i="22"/>
  <c r="J117" i="22"/>
  <c r="F117" i="22"/>
  <c r="J116" i="22"/>
  <c r="F116" i="22"/>
  <c r="F114" i="22"/>
  <c r="E112" i="22"/>
  <c r="J92" i="22"/>
  <c r="J91" i="22"/>
  <c r="F91" i="22"/>
  <c r="F89" i="22"/>
  <c r="E87" i="22"/>
  <c r="J37" i="22"/>
  <c r="J36" i="22"/>
  <c r="AY95" i="21" s="1"/>
  <c r="F36" i="22"/>
  <c r="BC95" i="21" s="1"/>
  <c r="J35" i="22"/>
  <c r="F34" i="22"/>
  <c r="BA95" i="21" s="1"/>
  <c r="J18" i="22"/>
  <c r="E18" i="22"/>
  <c r="F92" i="22" s="1"/>
  <c r="J17" i="22"/>
  <c r="J12" i="22"/>
  <c r="J89" i="22" s="1"/>
  <c r="E7" i="22"/>
  <c r="E85" i="22" s="1"/>
  <c r="AY98" i="21"/>
  <c r="AY97" i="21"/>
  <c r="AX97" i="21"/>
  <c r="AY96" i="21"/>
  <c r="AX95" i="21"/>
  <c r="AS94" i="21"/>
  <c r="AM90" i="21"/>
  <c r="L90" i="21"/>
  <c r="AM89" i="21"/>
  <c r="L89" i="21"/>
  <c r="AM87" i="21"/>
  <c r="L87" i="21"/>
  <c r="L85" i="21"/>
  <c r="L84" i="21"/>
  <c r="BK129" i="22" l="1"/>
  <c r="J129" i="22" s="1"/>
  <c r="J99" i="22" s="1"/>
  <c r="J130" i="22"/>
  <c r="J100" i="22" s="1"/>
  <c r="R125" i="25"/>
  <c r="J33" i="25"/>
  <c r="AV98" i="21" s="1"/>
  <c r="F33" i="25"/>
  <c r="AZ98" i="21" s="1"/>
  <c r="BB94" i="21"/>
  <c r="J33" i="23"/>
  <c r="AV96" i="21" s="1"/>
  <c r="AT96" i="21" s="1"/>
  <c r="R123" i="23"/>
  <c r="R122" i="23" s="1"/>
  <c r="J170" i="23"/>
  <c r="J102" i="23" s="1"/>
  <c r="BK169" i="23"/>
  <c r="J169" i="23" s="1"/>
  <c r="J101" i="23" s="1"/>
  <c r="F33" i="24"/>
  <c r="AZ97" i="21" s="1"/>
  <c r="J33" i="24"/>
  <c r="AV97" i="21" s="1"/>
  <c r="AT97" i="21" s="1"/>
  <c r="BK125" i="24"/>
  <c r="J126" i="24"/>
  <c r="J98" i="24" s="1"/>
  <c r="P232" i="24"/>
  <c r="J33" i="22"/>
  <c r="AV95" i="21" s="1"/>
  <c r="AT95" i="21" s="1"/>
  <c r="J127" i="25"/>
  <c r="J98" i="25" s="1"/>
  <c r="BK126" i="25"/>
  <c r="R125" i="24"/>
  <c r="R124" i="24" s="1"/>
  <c r="BD94" i="21"/>
  <c r="W33" i="21" s="1"/>
  <c r="T123" i="23"/>
  <c r="T122" i="23" s="1"/>
  <c r="P125" i="24"/>
  <c r="P124" i="24" s="1"/>
  <c r="AU97" i="21" s="1"/>
  <c r="T126" i="25"/>
  <c r="T125" i="25" s="1"/>
  <c r="J124" i="23"/>
  <c r="J98" i="23" s="1"/>
  <c r="BK123" i="23"/>
  <c r="BC94" i="21"/>
  <c r="BK121" i="22"/>
  <c r="J122" i="22"/>
  <c r="J98" i="22" s="1"/>
  <c r="P123" i="23"/>
  <c r="P122" i="23" s="1"/>
  <c r="AU96" i="21" s="1"/>
  <c r="T120" i="22"/>
  <c r="AU94" i="21"/>
  <c r="T125" i="24"/>
  <c r="T124" i="24" s="1"/>
  <c r="J274" i="25"/>
  <c r="J105" i="25" s="1"/>
  <c r="BK273" i="25"/>
  <c r="J273" i="25" s="1"/>
  <c r="J104" i="25" s="1"/>
  <c r="F34" i="23"/>
  <c r="BA96" i="21" s="1"/>
  <c r="BA94" i="21" s="1"/>
  <c r="E112" i="23"/>
  <c r="F33" i="22"/>
  <c r="AZ95" i="21" s="1"/>
  <c r="AZ94" i="21" s="1"/>
  <c r="E110" i="22"/>
  <c r="J34" i="25"/>
  <c r="AW98" i="21" s="1"/>
  <c r="F122" i="25"/>
  <c r="F34" i="24"/>
  <c r="BA97" i="21" s="1"/>
  <c r="J114" i="22"/>
  <c r="F33" i="23"/>
  <c r="AZ96" i="21" s="1"/>
  <c r="F119" i="23"/>
  <c r="W30" i="21" l="1"/>
  <c r="AW94" i="21"/>
  <c r="AK30" i="21" s="1"/>
  <c r="W31" i="21"/>
  <c r="AX94" i="21"/>
  <c r="J125" i="24"/>
  <c r="J97" i="24" s="1"/>
  <c r="BK124" i="24"/>
  <c r="J124" i="24" s="1"/>
  <c r="J121" i="22"/>
  <c r="J97" i="22" s="1"/>
  <c r="BK120" i="22"/>
  <c r="J120" i="22" s="1"/>
  <c r="AT98" i="21"/>
  <c r="W32" i="21"/>
  <c r="AY94" i="21"/>
  <c r="BK122" i="23"/>
  <c r="J122" i="23" s="1"/>
  <c r="J123" i="23"/>
  <c r="J97" i="23" s="1"/>
  <c r="J126" i="25"/>
  <c r="J97" i="25" s="1"/>
  <c r="BK125" i="25"/>
  <c r="J125" i="25" s="1"/>
  <c r="AV94" i="21"/>
  <c r="W29" i="21"/>
  <c r="AK29" i="21" l="1"/>
  <c r="AT94" i="21"/>
  <c r="J30" i="22"/>
  <c r="J96" i="22"/>
  <c r="J30" i="25"/>
  <c r="J96" i="25"/>
  <c r="J96" i="24"/>
  <c r="J30" i="24"/>
  <c r="J30" i="23"/>
  <c r="J96" i="23"/>
  <c r="J39" i="25" l="1"/>
  <c r="AG98" i="21"/>
  <c r="AN98" i="21" s="1"/>
  <c r="J39" i="24"/>
  <c r="AG97" i="21"/>
  <c r="AN97" i="21" s="1"/>
  <c r="AG95" i="21"/>
  <c r="J39" i="22"/>
  <c r="J39" i="23"/>
  <c r="AG96" i="21"/>
  <c r="AN96" i="21" s="1"/>
  <c r="AN95" i="21" l="1"/>
  <c r="AG94" i="21"/>
  <c r="AN94" i="21" l="1"/>
  <c r="AK26" i="21"/>
  <c r="AK35" i="21" s="1"/>
  <c r="N60" i="20" l="1"/>
  <c r="N59" i="20" s="1"/>
  <c r="N58" i="20"/>
  <c r="N57" i="20" s="1"/>
  <c r="N56" i="20"/>
  <c r="N55" i="20"/>
  <c r="N54" i="20"/>
  <c r="N50" i="20" s="1"/>
  <c r="N53" i="20"/>
  <c r="N52" i="20"/>
  <c r="N51" i="20"/>
  <c r="N49" i="20"/>
  <c r="N47" i="20"/>
  <c r="N46" i="20"/>
  <c r="N45" i="20"/>
  <c r="N44" i="20"/>
  <c r="N43" i="20"/>
  <c r="N42" i="20"/>
  <c r="N41" i="20"/>
  <c r="N40" i="20"/>
  <c r="N39" i="20"/>
  <c r="N38" i="20" s="1"/>
  <c r="N37" i="20" s="1"/>
  <c r="K36" i="20"/>
  <c r="N36" i="20" s="1"/>
  <c r="N35" i="20"/>
  <c r="N34" i="20"/>
  <c r="N33" i="20"/>
  <c r="N32" i="20"/>
  <c r="N31" i="20"/>
  <c r="N30" i="20"/>
  <c r="K29" i="20"/>
  <c r="N29" i="20" s="1"/>
  <c r="K28" i="20"/>
  <c r="N28" i="20" s="1"/>
  <c r="K27" i="20"/>
  <c r="N27" i="20" s="1"/>
  <c r="K26" i="20"/>
  <c r="N26" i="20" s="1"/>
  <c r="N25" i="20"/>
  <c r="N24" i="20"/>
  <c r="K24" i="20"/>
  <c r="N23" i="20"/>
  <c r="N21" i="20"/>
  <c r="K20" i="20"/>
  <c r="N20" i="20" s="1"/>
  <c r="K19" i="20"/>
  <c r="N19" i="20" s="1"/>
  <c r="N18" i="20"/>
  <c r="N17" i="20"/>
  <c r="K16" i="20"/>
  <c r="N16" i="20" s="1"/>
  <c r="K15" i="20"/>
  <c r="N15" i="20" s="1"/>
  <c r="K14" i="20"/>
  <c r="N14" i="20" s="1"/>
  <c r="K13" i="20"/>
  <c r="N13" i="20" s="1"/>
  <c r="K12" i="20"/>
  <c r="N12" i="20" s="1"/>
  <c r="N11" i="20"/>
  <c r="N10" i="20"/>
  <c r="N9" i="20"/>
  <c r="N8" i="20"/>
  <c r="N7" i="20"/>
  <c r="N6" i="20"/>
  <c r="N5" i="20"/>
  <c r="N4" i="20"/>
  <c r="N60" i="19"/>
  <c r="N59" i="19" s="1"/>
  <c r="N58" i="19"/>
  <c r="N57" i="19"/>
  <c r="N56" i="19"/>
  <c r="N55" i="19"/>
  <c r="N54" i="19"/>
  <c r="N50" i="19" s="1"/>
  <c r="N53" i="19"/>
  <c r="N52" i="19"/>
  <c r="N51" i="19"/>
  <c r="N49" i="19"/>
  <c r="N47" i="19"/>
  <c r="N46" i="19"/>
  <c r="N45" i="19"/>
  <c r="N44" i="19"/>
  <c r="N43" i="19"/>
  <c r="N42" i="19"/>
  <c r="N41" i="19"/>
  <c r="N40" i="19"/>
  <c r="N39" i="19"/>
  <c r="N38" i="19" s="1"/>
  <c r="N36" i="19"/>
  <c r="K36" i="19"/>
  <c r="N35" i="19"/>
  <c r="N34" i="19"/>
  <c r="N33" i="19"/>
  <c r="N32" i="19"/>
  <c r="N31" i="19"/>
  <c r="N30" i="19"/>
  <c r="N29" i="19"/>
  <c r="K29" i="19"/>
  <c r="K28" i="19"/>
  <c r="N28" i="19" s="1"/>
  <c r="K27" i="19"/>
  <c r="N27" i="19" s="1"/>
  <c r="K26" i="19"/>
  <c r="N26" i="19" s="1"/>
  <c r="N25" i="19"/>
  <c r="K24" i="19"/>
  <c r="N24" i="19" s="1"/>
  <c r="N22" i="19" s="1"/>
  <c r="N23" i="19"/>
  <c r="N21" i="19"/>
  <c r="K20" i="19"/>
  <c r="N20" i="19" s="1"/>
  <c r="N19" i="19"/>
  <c r="K19" i="19"/>
  <c r="N18" i="19"/>
  <c r="N17" i="19"/>
  <c r="K16" i="19"/>
  <c r="N16" i="19" s="1"/>
  <c r="K15" i="19"/>
  <c r="N15" i="19" s="1"/>
  <c r="N14" i="19"/>
  <c r="K14" i="19"/>
  <c r="K13" i="19"/>
  <c r="N13" i="19" s="1"/>
  <c r="K12" i="19"/>
  <c r="N12" i="19" s="1"/>
  <c r="N11" i="19"/>
  <c r="N10" i="19"/>
  <c r="N9" i="19"/>
  <c r="N8" i="19"/>
  <c r="N7" i="19"/>
  <c r="N6" i="19"/>
  <c r="N5" i="19"/>
  <c r="N4" i="19"/>
  <c r="N22" i="20" l="1"/>
  <c r="N3" i="20"/>
  <c r="N3" i="19"/>
  <c r="N2" i="19" s="1"/>
  <c r="N61" i="19" s="1"/>
  <c r="H26" i="13" s="1"/>
  <c r="N37" i="19"/>
  <c r="I29" i="18"/>
  <c r="Q26" i="18"/>
  <c r="Q29" i="18" s="1"/>
  <c r="K26" i="18"/>
  <c r="I26" i="18"/>
  <c r="G29" i="18" s="1"/>
  <c r="I10" i="18" s="1"/>
  <c r="G26" i="18"/>
  <c r="I14" i="18"/>
  <c r="I13" i="18"/>
  <c r="A13" i="18"/>
  <c r="R11" i="18"/>
  <c r="I29" i="17"/>
  <c r="Q26" i="17"/>
  <c r="Q29" i="17" s="1"/>
  <c r="K26" i="17"/>
  <c r="I26" i="17"/>
  <c r="G26" i="17"/>
  <c r="I14" i="17"/>
  <c r="I13" i="17"/>
  <c r="A13" i="17"/>
  <c r="R11" i="17"/>
  <c r="I29" i="16"/>
  <c r="R11" i="16" s="1"/>
  <c r="Q26" i="16"/>
  <c r="Q29" i="16" s="1"/>
  <c r="K26" i="16"/>
  <c r="I26" i="16"/>
  <c r="G26" i="16"/>
  <c r="I14" i="16"/>
  <c r="I13" i="16"/>
  <c r="A13" i="16"/>
  <c r="I29" i="15"/>
  <c r="R11" i="15" s="1"/>
  <c r="Q26" i="15"/>
  <c r="Q29" i="15" s="1"/>
  <c r="K26" i="15"/>
  <c r="I26" i="15"/>
  <c r="G26" i="15"/>
  <c r="I14" i="15"/>
  <c r="I13" i="15"/>
  <c r="A13" i="15"/>
  <c r="I29" i="14"/>
  <c r="R11" i="14" s="1"/>
  <c r="Q26" i="14"/>
  <c r="Q29" i="14" s="1"/>
  <c r="K26" i="14"/>
  <c r="I26" i="14"/>
  <c r="G26" i="14"/>
  <c r="I14" i="14"/>
  <c r="I13" i="14"/>
  <c r="A13" i="14"/>
  <c r="I29" i="13"/>
  <c r="Q26" i="13"/>
  <c r="Q29" i="13" s="1"/>
  <c r="K26" i="13"/>
  <c r="G26" i="13"/>
  <c r="I14" i="13"/>
  <c r="I13" i="13"/>
  <c r="A13" i="13"/>
  <c r="R11" i="13"/>
  <c r="E31" i="1" s="1"/>
  <c r="I98" i="12"/>
  <c r="R11" i="12" s="1"/>
  <c r="E30" i="1" s="1"/>
  <c r="Q95" i="12"/>
  <c r="Q98" i="12" s="1"/>
  <c r="K95" i="12"/>
  <c r="I95" i="12"/>
  <c r="G98" i="12" s="1"/>
  <c r="J25" i="12" s="1"/>
  <c r="H95" i="12"/>
  <c r="G95" i="12"/>
  <c r="I93" i="12"/>
  <c r="Q90" i="12"/>
  <c r="K90" i="12"/>
  <c r="H90" i="12"/>
  <c r="I90" i="12" s="1"/>
  <c r="R90" i="12" s="1"/>
  <c r="G90" i="12"/>
  <c r="Q87" i="12"/>
  <c r="K87" i="12"/>
  <c r="H87" i="12"/>
  <c r="I87" i="12" s="1"/>
  <c r="R87" i="12" s="1"/>
  <c r="G87" i="12"/>
  <c r="Q84" i="12"/>
  <c r="K84" i="12"/>
  <c r="I84" i="12"/>
  <c r="R84" i="12" s="1"/>
  <c r="H84" i="12"/>
  <c r="G84" i="12"/>
  <c r="Q81" i="12"/>
  <c r="K81" i="12"/>
  <c r="H81" i="12"/>
  <c r="I81" i="12" s="1"/>
  <c r="R81" i="12" s="1"/>
  <c r="G81" i="12"/>
  <c r="Q78" i="12"/>
  <c r="K78" i="12"/>
  <c r="H78" i="12"/>
  <c r="I78" i="12" s="1"/>
  <c r="R78" i="12" s="1"/>
  <c r="G78" i="12"/>
  <c r="Q75" i="12"/>
  <c r="K75" i="12"/>
  <c r="H75" i="12"/>
  <c r="I75" i="12" s="1"/>
  <c r="R75" i="12" s="1"/>
  <c r="G75" i="12"/>
  <c r="Q72" i="12"/>
  <c r="Q93" i="12" s="1"/>
  <c r="K72" i="12"/>
  <c r="I72" i="12"/>
  <c r="R72" i="12" s="1"/>
  <c r="H72" i="12"/>
  <c r="G72" i="12"/>
  <c r="Q70" i="12"/>
  <c r="I70" i="12"/>
  <c r="Q67" i="12"/>
  <c r="K67" i="12"/>
  <c r="H67" i="12"/>
  <c r="I67" i="12" s="1"/>
  <c r="G67" i="12"/>
  <c r="I65" i="12"/>
  <c r="Q62" i="12"/>
  <c r="K62" i="12"/>
  <c r="I62" i="12"/>
  <c r="R62" i="12" s="1"/>
  <c r="H62" i="12"/>
  <c r="G62" i="12"/>
  <c r="R59" i="12"/>
  <c r="Q59" i="12"/>
  <c r="K59" i="12"/>
  <c r="H59" i="12"/>
  <c r="I59" i="12" s="1"/>
  <c r="G59" i="12"/>
  <c r="Q56" i="12"/>
  <c r="K56" i="12"/>
  <c r="H56" i="12"/>
  <c r="I56" i="12" s="1"/>
  <c r="R56" i="12" s="1"/>
  <c r="G56" i="12"/>
  <c r="Q53" i="12"/>
  <c r="K53" i="12"/>
  <c r="H53" i="12"/>
  <c r="I53" i="12" s="1"/>
  <c r="R53" i="12" s="1"/>
  <c r="G53" i="12"/>
  <c r="Q50" i="12"/>
  <c r="Q65" i="12" s="1"/>
  <c r="K50" i="12"/>
  <c r="I50" i="12"/>
  <c r="G65" i="12" s="1"/>
  <c r="J22" i="12" s="1"/>
  <c r="H50" i="12"/>
  <c r="G50" i="12"/>
  <c r="I48" i="12"/>
  <c r="Q45" i="12"/>
  <c r="K45" i="12"/>
  <c r="H45" i="12"/>
  <c r="I45" i="12" s="1"/>
  <c r="R45" i="12" s="1"/>
  <c r="G45" i="12"/>
  <c r="Q42" i="12"/>
  <c r="Q48" i="12" s="1"/>
  <c r="K42" i="12"/>
  <c r="H42" i="12"/>
  <c r="I42" i="12" s="1"/>
  <c r="G42" i="12"/>
  <c r="Q40" i="12"/>
  <c r="I40" i="12"/>
  <c r="R37" i="12"/>
  <c r="Q37" i="12"/>
  <c r="K37" i="12"/>
  <c r="H37" i="12"/>
  <c r="I37" i="12" s="1"/>
  <c r="G37" i="12"/>
  <c r="Q34" i="12"/>
  <c r="K34" i="12"/>
  <c r="H34" i="12"/>
  <c r="I34" i="12" s="1"/>
  <c r="R34" i="12" s="1"/>
  <c r="G34" i="12"/>
  <c r="Q31" i="12"/>
  <c r="K31" i="12"/>
  <c r="H31" i="12"/>
  <c r="I31" i="12" s="1"/>
  <c r="G31" i="12"/>
  <c r="I14" i="12"/>
  <c r="I13" i="12"/>
  <c r="A13" i="12"/>
  <c r="I32" i="11"/>
  <c r="R11" i="11" s="1"/>
  <c r="Q29" i="11"/>
  <c r="Q32" i="11" s="1"/>
  <c r="K29" i="11"/>
  <c r="I29" i="11"/>
  <c r="R29" i="11" s="1"/>
  <c r="H29" i="11"/>
  <c r="G29" i="11"/>
  <c r="R26" i="11"/>
  <c r="Q26" i="11"/>
  <c r="K26" i="11"/>
  <c r="H26" i="11"/>
  <c r="I26" i="11" s="1"/>
  <c r="G32" i="11" s="1"/>
  <c r="G26" i="11"/>
  <c r="J20" i="11"/>
  <c r="Q11" i="11" s="1"/>
  <c r="I14" i="11"/>
  <c r="I13" i="11"/>
  <c r="A13" i="11"/>
  <c r="I10" i="11"/>
  <c r="I281" i="10"/>
  <c r="Q278" i="10"/>
  <c r="K278" i="10"/>
  <c r="H278" i="10"/>
  <c r="I278" i="10" s="1"/>
  <c r="R278" i="10" s="1"/>
  <c r="G278" i="10"/>
  <c r="Q275" i="10"/>
  <c r="K275" i="10"/>
  <c r="I275" i="10"/>
  <c r="R275" i="10" s="1"/>
  <c r="H275" i="10"/>
  <c r="G275" i="10"/>
  <c r="Q272" i="10"/>
  <c r="K272" i="10"/>
  <c r="H272" i="10"/>
  <c r="G272" i="10"/>
  <c r="I272" i="10" s="1"/>
  <c r="R272" i="10" s="1"/>
  <c r="Q269" i="10"/>
  <c r="K269" i="10"/>
  <c r="I269" i="10"/>
  <c r="R269" i="10" s="1"/>
  <c r="H269" i="10"/>
  <c r="G269" i="10"/>
  <c r="Q266" i="10"/>
  <c r="K266" i="10"/>
  <c r="H266" i="10"/>
  <c r="I266" i="10" s="1"/>
  <c r="R266" i="10" s="1"/>
  <c r="G266" i="10"/>
  <c r="Q263" i="10"/>
  <c r="K263" i="10"/>
  <c r="I263" i="10"/>
  <c r="R263" i="10" s="1"/>
  <c r="H263" i="10"/>
  <c r="G263" i="10"/>
  <c r="Q260" i="10"/>
  <c r="K260" i="10"/>
  <c r="H260" i="10"/>
  <c r="G260" i="10"/>
  <c r="I260" i="10" s="1"/>
  <c r="R260" i="10" s="1"/>
  <c r="Q257" i="10"/>
  <c r="K257" i="10"/>
  <c r="I257" i="10"/>
  <c r="R257" i="10" s="1"/>
  <c r="H257" i="10"/>
  <c r="G257" i="10"/>
  <c r="Q254" i="10"/>
  <c r="K254" i="10"/>
  <c r="H254" i="10"/>
  <c r="I254" i="10" s="1"/>
  <c r="R254" i="10" s="1"/>
  <c r="G254" i="10"/>
  <c r="Q251" i="10"/>
  <c r="K251" i="10"/>
  <c r="I251" i="10"/>
  <c r="R251" i="10" s="1"/>
  <c r="H251" i="10"/>
  <c r="G251" i="10"/>
  <c r="Q248" i="10"/>
  <c r="K248" i="10"/>
  <c r="H248" i="10"/>
  <c r="G248" i="10"/>
  <c r="I248" i="10" s="1"/>
  <c r="R248" i="10" s="1"/>
  <c r="Q245" i="10"/>
  <c r="K245" i="10"/>
  <c r="I245" i="10"/>
  <c r="R245" i="10" s="1"/>
  <c r="H245" i="10"/>
  <c r="G245" i="10"/>
  <c r="Q242" i="10"/>
  <c r="K242" i="10"/>
  <c r="H242" i="10"/>
  <c r="I242" i="10" s="1"/>
  <c r="R242" i="10" s="1"/>
  <c r="G242" i="10"/>
  <c r="Q239" i="10"/>
  <c r="Q281" i="10" s="1"/>
  <c r="K239" i="10"/>
  <c r="I239" i="10"/>
  <c r="H239" i="10"/>
  <c r="G239" i="10"/>
  <c r="Q237" i="10"/>
  <c r="I237" i="10"/>
  <c r="G237" i="10"/>
  <c r="J27" i="10" s="1"/>
  <c r="Q234" i="10"/>
  <c r="K234" i="10"/>
  <c r="I234" i="10"/>
  <c r="R234" i="10" s="1"/>
  <c r="R237" i="10" s="1"/>
  <c r="H234" i="10"/>
  <c r="G234" i="10"/>
  <c r="I232" i="10"/>
  <c r="Q229" i="10"/>
  <c r="K229" i="10"/>
  <c r="I229" i="10"/>
  <c r="R229" i="10" s="1"/>
  <c r="H229" i="10"/>
  <c r="G229" i="10"/>
  <c r="Q226" i="10"/>
  <c r="K226" i="10"/>
  <c r="H226" i="10"/>
  <c r="G226" i="10"/>
  <c r="I226" i="10" s="1"/>
  <c r="R226" i="10" s="1"/>
  <c r="Q223" i="10"/>
  <c r="K223" i="10"/>
  <c r="I223" i="10"/>
  <c r="R223" i="10" s="1"/>
  <c r="H223" i="10"/>
  <c r="G223" i="10"/>
  <c r="Q220" i="10"/>
  <c r="Q232" i="10" s="1"/>
  <c r="K220" i="10"/>
  <c r="H220" i="10"/>
  <c r="I220" i="10" s="1"/>
  <c r="G220" i="10"/>
  <c r="I218" i="10"/>
  <c r="Q215" i="10"/>
  <c r="K215" i="10"/>
  <c r="H215" i="10"/>
  <c r="G215" i="10"/>
  <c r="I215" i="10" s="1"/>
  <c r="R215" i="10" s="1"/>
  <c r="Q212" i="10"/>
  <c r="Q218" i="10" s="1"/>
  <c r="K212" i="10"/>
  <c r="I212" i="10"/>
  <c r="R212" i="10" s="1"/>
  <c r="H212" i="10"/>
  <c r="G212" i="10"/>
  <c r="I210" i="10"/>
  <c r="Q207" i="10"/>
  <c r="K207" i="10"/>
  <c r="I207" i="10"/>
  <c r="R207" i="10" s="1"/>
  <c r="H207" i="10"/>
  <c r="G207" i="10"/>
  <c r="Q204" i="10"/>
  <c r="K204" i="10"/>
  <c r="H204" i="10"/>
  <c r="G204" i="10"/>
  <c r="I204" i="10" s="1"/>
  <c r="R204" i="10" s="1"/>
  <c r="Q201" i="10"/>
  <c r="K201" i="10"/>
  <c r="I201" i="10"/>
  <c r="R201" i="10" s="1"/>
  <c r="H201" i="10"/>
  <c r="G201" i="10"/>
  <c r="Q198" i="10"/>
  <c r="K198" i="10"/>
  <c r="H198" i="10"/>
  <c r="I198" i="10" s="1"/>
  <c r="R198" i="10" s="1"/>
  <c r="G198" i="10"/>
  <c r="Q195" i="10"/>
  <c r="K195" i="10"/>
  <c r="I195" i="10"/>
  <c r="R195" i="10" s="1"/>
  <c r="H195" i="10"/>
  <c r="G195" i="10"/>
  <c r="Q192" i="10"/>
  <c r="K192" i="10"/>
  <c r="H192" i="10"/>
  <c r="G192" i="10"/>
  <c r="I192" i="10" s="1"/>
  <c r="R192" i="10" s="1"/>
  <c r="Q189" i="10"/>
  <c r="K189" i="10"/>
  <c r="I189" i="10"/>
  <c r="R189" i="10" s="1"/>
  <c r="H189" i="10"/>
  <c r="G189" i="10"/>
  <c r="Q186" i="10"/>
  <c r="K186" i="10"/>
  <c r="H186" i="10"/>
  <c r="I186" i="10" s="1"/>
  <c r="R186" i="10" s="1"/>
  <c r="G186" i="10"/>
  <c r="Q183" i="10"/>
  <c r="K183" i="10"/>
  <c r="I183" i="10"/>
  <c r="R183" i="10" s="1"/>
  <c r="H183" i="10"/>
  <c r="G183" i="10"/>
  <c r="Q180" i="10"/>
  <c r="K180" i="10"/>
  <c r="H180" i="10"/>
  <c r="G180" i="10"/>
  <c r="I180" i="10" s="1"/>
  <c r="R180" i="10" s="1"/>
  <c r="Q177" i="10"/>
  <c r="K177" i="10"/>
  <c r="I177" i="10"/>
  <c r="R177" i="10" s="1"/>
  <c r="H177" i="10"/>
  <c r="G177" i="10"/>
  <c r="Q174" i="10"/>
  <c r="K174" i="10"/>
  <c r="H174" i="10"/>
  <c r="I174" i="10" s="1"/>
  <c r="R174" i="10" s="1"/>
  <c r="G174" i="10"/>
  <c r="Q171" i="10"/>
  <c r="K171" i="10"/>
  <c r="I171" i="10"/>
  <c r="R171" i="10" s="1"/>
  <c r="H171" i="10"/>
  <c r="G171" i="10"/>
  <c r="Q168" i="10"/>
  <c r="K168" i="10"/>
  <c r="H168" i="10"/>
  <c r="G168" i="10"/>
  <c r="I168" i="10" s="1"/>
  <c r="R168" i="10" s="1"/>
  <c r="Q165" i="10"/>
  <c r="K165" i="10"/>
  <c r="I165" i="10"/>
  <c r="R165" i="10" s="1"/>
  <c r="H165" i="10"/>
  <c r="G165" i="10"/>
  <c r="Q162" i="10"/>
  <c r="K162" i="10"/>
  <c r="H162" i="10"/>
  <c r="I162" i="10" s="1"/>
  <c r="G162" i="10"/>
  <c r="I160" i="10"/>
  <c r="Q157" i="10"/>
  <c r="K157" i="10"/>
  <c r="H157" i="10"/>
  <c r="G157" i="10"/>
  <c r="I157" i="10" s="1"/>
  <c r="R157" i="10" s="1"/>
  <c r="Q154" i="10"/>
  <c r="K154" i="10"/>
  <c r="I154" i="10"/>
  <c r="R154" i="10" s="1"/>
  <c r="H154" i="10"/>
  <c r="G154" i="10"/>
  <c r="Q151" i="10"/>
  <c r="K151" i="10"/>
  <c r="H151" i="10"/>
  <c r="I151" i="10" s="1"/>
  <c r="R151" i="10" s="1"/>
  <c r="G151" i="10"/>
  <c r="Q148" i="10"/>
  <c r="K148" i="10"/>
  <c r="I148" i="10"/>
  <c r="R148" i="10" s="1"/>
  <c r="H148" i="10"/>
  <c r="G148" i="10"/>
  <c r="Q145" i="10"/>
  <c r="K145" i="10"/>
  <c r="H145" i="10"/>
  <c r="G145" i="10"/>
  <c r="I145" i="10" s="1"/>
  <c r="R145" i="10" s="1"/>
  <c r="Q142" i="10"/>
  <c r="K142" i="10"/>
  <c r="I142" i="10"/>
  <c r="R142" i="10" s="1"/>
  <c r="H142" i="10"/>
  <c r="G142" i="10"/>
  <c r="Q139" i="10"/>
  <c r="K139" i="10"/>
  <c r="H139" i="10"/>
  <c r="I139" i="10" s="1"/>
  <c r="R139" i="10" s="1"/>
  <c r="G139" i="10"/>
  <c r="Q136" i="10"/>
  <c r="K136" i="10"/>
  <c r="I136" i="10"/>
  <c r="R136" i="10" s="1"/>
  <c r="H136" i="10"/>
  <c r="G136" i="10"/>
  <c r="Q133" i="10"/>
  <c r="K133" i="10"/>
  <c r="H133" i="10"/>
  <c r="G133" i="10"/>
  <c r="I133" i="10" s="1"/>
  <c r="R133" i="10" s="1"/>
  <c r="Q130" i="10"/>
  <c r="K130" i="10"/>
  <c r="I130" i="10"/>
  <c r="R130" i="10" s="1"/>
  <c r="H130" i="10"/>
  <c r="G130" i="10"/>
  <c r="Q127" i="10"/>
  <c r="K127" i="10"/>
  <c r="H127" i="10"/>
  <c r="I127" i="10" s="1"/>
  <c r="G127" i="10"/>
  <c r="I125" i="10"/>
  <c r="Q122" i="10"/>
  <c r="K122" i="10"/>
  <c r="H122" i="10"/>
  <c r="G122" i="10"/>
  <c r="I122" i="10" s="1"/>
  <c r="R122" i="10" s="1"/>
  <c r="Q119" i="10"/>
  <c r="K119" i="10"/>
  <c r="I119" i="10"/>
  <c r="R119" i="10" s="1"/>
  <c r="H119" i="10"/>
  <c r="G119" i="10"/>
  <c r="Q116" i="10"/>
  <c r="K116" i="10"/>
  <c r="H116" i="10"/>
  <c r="I116" i="10" s="1"/>
  <c r="R116" i="10" s="1"/>
  <c r="G116" i="10"/>
  <c r="Q113" i="10"/>
  <c r="K113" i="10"/>
  <c r="I113" i="10"/>
  <c r="R113" i="10" s="1"/>
  <c r="H113" i="10"/>
  <c r="G113" i="10"/>
  <c r="Q110" i="10"/>
  <c r="K110" i="10"/>
  <c r="H110" i="10"/>
  <c r="G110" i="10"/>
  <c r="I110" i="10" s="1"/>
  <c r="R110" i="10" s="1"/>
  <c r="Q107" i="10"/>
  <c r="K107" i="10"/>
  <c r="I107" i="10"/>
  <c r="R107" i="10" s="1"/>
  <c r="H107" i="10"/>
  <c r="G107" i="10"/>
  <c r="Q104" i="10"/>
  <c r="K104" i="10"/>
  <c r="H104" i="10"/>
  <c r="I104" i="10" s="1"/>
  <c r="R104" i="10" s="1"/>
  <c r="G104" i="10"/>
  <c r="Q101" i="10"/>
  <c r="K101" i="10"/>
  <c r="I101" i="10"/>
  <c r="R101" i="10" s="1"/>
  <c r="H101" i="10"/>
  <c r="G101" i="10"/>
  <c r="Q98" i="10"/>
  <c r="K98" i="10"/>
  <c r="H98" i="10"/>
  <c r="G98" i="10"/>
  <c r="I98" i="10" s="1"/>
  <c r="R98" i="10" s="1"/>
  <c r="Q95" i="10"/>
  <c r="K95" i="10"/>
  <c r="I95" i="10"/>
  <c r="R95" i="10" s="1"/>
  <c r="H95" i="10"/>
  <c r="G95" i="10"/>
  <c r="Q92" i="10"/>
  <c r="Q125" i="10" s="1"/>
  <c r="K92" i="10"/>
  <c r="H92" i="10"/>
  <c r="I92" i="10" s="1"/>
  <c r="G92" i="10"/>
  <c r="I90" i="10"/>
  <c r="Q87" i="10"/>
  <c r="K87" i="10"/>
  <c r="H87" i="10"/>
  <c r="G87" i="10"/>
  <c r="I87" i="10" s="1"/>
  <c r="R87" i="10" s="1"/>
  <c r="Q84" i="10"/>
  <c r="K84" i="10"/>
  <c r="I84" i="10"/>
  <c r="R84" i="10" s="1"/>
  <c r="H84" i="10"/>
  <c r="G84" i="10"/>
  <c r="Q81" i="10"/>
  <c r="K81" i="10"/>
  <c r="H81" i="10"/>
  <c r="I81" i="10" s="1"/>
  <c r="R81" i="10" s="1"/>
  <c r="G81" i="10"/>
  <c r="Q78" i="10"/>
  <c r="K78" i="10"/>
  <c r="I78" i="10"/>
  <c r="R78" i="10" s="1"/>
  <c r="H78" i="10"/>
  <c r="G78" i="10"/>
  <c r="Q75" i="10"/>
  <c r="K75" i="10"/>
  <c r="H75" i="10"/>
  <c r="G75" i="10"/>
  <c r="I75" i="10" s="1"/>
  <c r="R75" i="10" s="1"/>
  <c r="Q72" i="10"/>
  <c r="K72" i="10"/>
  <c r="I72" i="10"/>
  <c r="R72" i="10" s="1"/>
  <c r="H72" i="10"/>
  <c r="G72" i="10"/>
  <c r="Q69" i="10"/>
  <c r="K69" i="10"/>
  <c r="H69" i="10"/>
  <c r="I69" i="10" s="1"/>
  <c r="R69" i="10" s="1"/>
  <c r="G69" i="10"/>
  <c r="Q66" i="10"/>
  <c r="K66" i="10"/>
  <c r="I66" i="10"/>
  <c r="H66" i="10"/>
  <c r="G66" i="10"/>
  <c r="I64" i="10"/>
  <c r="Q61" i="10"/>
  <c r="K61" i="10"/>
  <c r="I61" i="10"/>
  <c r="R61" i="10" s="1"/>
  <c r="H61" i="10"/>
  <c r="G61" i="10"/>
  <c r="Q58" i="10"/>
  <c r="K58" i="10"/>
  <c r="H58" i="10"/>
  <c r="I58" i="10" s="1"/>
  <c r="R58" i="10" s="1"/>
  <c r="G58" i="10"/>
  <c r="Q55" i="10"/>
  <c r="K55" i="10"/>
  <c r="I55" i="10"/>
  <c r="R55" i="10" s="1"/>
  <c r="H55" i="10"/>
  <c r="G55" i="10"/>
  <c r="Q52" i="10"/>
  <c r="K52" i="10"/>
  <c r="H52" i="10"/>
  <c r="I52" i="10" s="1"/>
  <c r="R52" i="10" s="1"/>
  <c r="G52" i="10"/>
  <c r="Q49" i="10"/>
  <c r="K49" i="10"/>
  <c r="I49" i="10"/>
  <c r="R49" i="10" s="1"/>
  <c r="H49" i="10"/>
  <c r="G49" i="10"/>
  <c r="Q46" i="10"/>
  <c r="K46" i="10"/>
  <c r="H46" i="10"/>
  <c r="I46" i="10" s="1"/>
  <c r="R46" i="10" s="1"/>
  <c r="G46" i="10"/>
  <c r="Q43" i="10"/>
  <c r="K43" i="10"/>
  <c r="I43" i="10"/>
  <c r="R43" i="10" s="1"/>
  <c r="H43" i="10"/>
  <c r="G43" i="10"/>
  <c r="Q40" i="10"/>
  <c r="K40" i="10"/>
  <c r="H40" i="10"/>
  <c r="I40" i="10" s="1"/>
  <c r="R40" i="10" s="1"/>
  <c r="G40" i="10"/>
  <c r="Q37" i="10"/>
  <c r="K37" i="10"/>
  <c r="I37" i="10"/>
  <c r="R37" i="10" s="1"/>
  <c r="H37" i="10"/>
  <c r="G37" i="10"/>
  <c r="Q34" i="10"/>
  <c r="K34" i="10"/>
  <c r="H34" i="10"/>
  <c r="I34" i="10" s="1"/>
  <c r="R34" i="10" s="1"/>
  <c r="G34" i="10"/>
  <c r="I14" i="10"/>
  <c r="I13" i="10"/>
  <c r="A13" i="10"/>
  <c r="R11" i="10"/>
  <c r="Q38" i="9"/>
  <c r="I38" i="9"/>
  <c r="Q35" i="9"/>
  <c r="K35" i="9"/>
  <c r="H35" i="9"/>
  <c r="I35" i="9" s="1"/>
  <c r="G35" i="9"/>
  <c r="I33" i="9"/>
  <c r="R11" i="9" s="1"/>
  <c r="E27" i="1" s="1"/>
  <c r="Q30" i="9"/>
  <c r="K30" i="9"/>
  <c r="H30" i="9"/>
  <c r="I30" i="9" s="1"/>
  <c r="R30" i="9" s="1"/>
  <c r="G30" i="9"/>
  <c r="R27" i="9"/>
  <c r="Q27" i="9"/>
  <c r="Q33" i="9" s="1"/>
  <c r="K27" i="9"/>
  <c r="H27" i="9"/>
  <c r="I27" i="9" s="1"/>
  <c r="G27" i="9"/>
  <c r="I14" i="9"/>
  <c r="I13" i="9"/>
  <c r="A13" i="9"/>
  <c r="I53" i="8"/>
  <c r="Q50" i="8"/>
  <c r="K50" i="8"/>
  <c r="H50" i="8"/>
  <c r="I50" i="8" s="1"/>
  <c r="R50" i="8" s="1"/>
  <c r="G50" i="8"/>
  <c r="Q47" i="8"/>
  <c r="Q53" i="8" s="1"/>
  <c r="K47" i="8"/>
  <c r="H47" i="8"/>
  <c r="I47" i="8" s="1"/>
  <c r="G53" i="8" s="1"/>
  <c r="J23" i="8" s="1"/>
  <c r="G47" i="8"/>
  <c r="Q45" i="8"/>
  <c r="I45" i="8"/>
  <c r="Q42" i="8"/>
  <c r="K42" i="8"/>
  <c r="H42" i="8"/>
  <c r="I42" i="8" s="1"/>
  <c r="G42" i="8"/>
  <c r="Q40" i="8"/>
  <c r="I40" i="8"/>
  <c r="R37" i="8"/>
  <c r="Q37" i="8"/>
  <c r="K37" i="8"/>
  <c r="H37" i="8"/>
  <c r="I37" i="8" s="1"/>
  <c r="G37" i="8"/>
  <c r="Q34" i="8"/>
  <c r="K34" i="8"/>
  <c r="H34" i="8"/>
  <c r="I34" i="8" s="1"/>
  <c r="G34" i="8"/>
  <c r="I32" i="8"/>
  <c r="R11" i="8" s="1"/>
  <c r="E26" i="1" s="1"/>
  <c r="Q29" i="8"/>
  <c r="Q32" i="8" s="1"/>
  <c r="K29" i="8"/>
  <c r="H29" i="8"/>
  <c r="I29" i="8" s="1"/>
  <c r="G29" i="8"/>
  <c r="I14" i="8"/>
  <c r="I13" i="8"/>
  <c r="A13" i="8"/>
  <c r="I53" i="7"/>
  <c r="Q50" i="7"/>
  <c r="K50" i="7"/>
  <c r="H50" i="7"/>
  <c r="I50" i="7" s="1"/>
  <c r="R50" i="7" s="1"/>
  <c r="G50" i="7"/>
  <c r="R47" i="7"/>
  <c r="Q47" i="7"/>
  <c r="K47" i="7"/>
  <c r="H47" i="7"/>
  <c r="I47" i="7" s="1"/>
  <c r="G47" i="7"/>
  <c r="Q44" i="7"/>
  <c r="K44" i="7"/>
  <c r="H44" i="7"/>
  <c r="I44" i="7" s="1"/>
  <c r="R44" i="7" s="1"/>
  <c r="G44" i="7"/>
  <c r="Q41" i="7"/>
  <c r="K41" i="7"/>
  <c r="H41" i="7"/>
  <c r="I41" i="7" s="1"/>
  <c r="R41" i="7" s="1"/>
  <c r="G41" i="7"/>
  <c r="Q38" i="7"/>
  <c r="Q53" i="7" s="1"/>
  <c r="K38" i="7"/>
  <c r="H38" i="7"/>
  <c r="I38" i="7" s="1"/>
  <c r="G38" i="7"/>
  <c r="Q36" i="7"/>
  <c r="I36" i="7"/>
  <c r="R11" i="7" s="1"/>
  <c r="Q33" i="7"/>
  <c r="K33" i="7"/>
  <c r="H33" i="7"/>
  <c r="I33" i="7" s="1"/>
  <c r="R33" i="7" s="1"/>
  <c r="G33" i="7"/>
  <c r="Q30" i="7"/>
  <c r="K30" i="7"/>
  <c r="H30" i="7"/>
  <c r="I30" i="7" s="1"/>
  <c r="R30" i="7" s="1"/>
  <c r="G30" i="7"/>
  <c r="Q27" i="7"/>
  <c r="K27" i="7"/>
  <c r="H27" i="7"/>
  <c r="I27" i="7" s="1"/>
  <c r="G27" i="7"/>
  <c r="I14" i="7"/>
  <c r="I13" i="7"/>
  <c r="A13" i="7"/>
  <c r="Q113" i="6"/>
  <c r="I113" i="6"/>
  <c r="R110" i="6"/>
  <c r="Q110" i="6"/>
  <c r="K110" i="6"/>
  <c r="H110" i="6"/>
  <c r="I110" i="6" s="1"/>
  <c r="G110" i="6"/>
  <c r="Q107" i="6"/>
  <c r="K107" i="6"/>
  <c r="H107" i="6"/>
  <c r="I107" i="6" s="1"/>
  <c r="R107" i="6" s="1"/>
  <c r="G107" i="6"/>
  <c r="Q104" i="6"/>
  <c r="K104" i="6"/>
  <c r="H104" i="6"/>
  <c r="I104" i="6" s="1"/>
  <c r="G113" i="6" s="1"/>
  <c r="G104" i="6"/>
  <c r="Q102" i="6"/>
  <c r="I102" i="6"/>
  <c r="R99" i="6"/>
  <c r="R102" i="6" s="1"/>
  <c r="Q99" i="6"/>
  <c r="K99" i="6"/>
  <c r="H99" i="6"/>
  <c r="I99" i="6" s="1"/>
  <c r="G102" i="6" s="1"/>
  <c r="J24" i="6" s="1"/>
  <c r="G99" i="6"/>
  <c r="Q97" i="6"/>
  <c r="I97" i="6"/>
  <c r="Q94" i="6"/>
  <c r="K94" i="6"/>
  <c r="H94" i="6"/>
  <c r="I94" i="6" s="1"/>
  <c r="R94" i="6" s="1"/>
  <c r="G94" i="6"/>
  <c r="Q91" i="6"/>
  <c r="K91" i="6"/>
  <c r="H91" i="6"/>
  <c r="I91" i="6" s="1"/>
  <c r="R91" i="6" s="1"/>
  <c r="G91" i="6"/>
  <c r="R88" i="6"/>
  <c r="Q88" i="6"/>
  <c r="K88" i="6"/>
  <c r="H88" i="6"/>
  <c r="I88" i="6" s="1"/>
  <c r="G88" i="6"/>
  <c r="Q85" i="6"/>
  <c r="K85" i="6"/>
  <c r="H85" i="6"/>
  <c r="I85" i="6" s="1"/>
  <c r="R85" i="6" s="1"/>
  <c r="G85" i="6"/>
  <c r="Q82" i="6"/>
  <c r="K82" i="6"/>
  <c r="H82" i="6"/>
  <c r="I82" i="6" s="1"/>
  <c r="R82" i="6" s="1"/>
  <c r="G82" i="6"/>
  <c r="Q79" i="6"/>
  <c r="K79" i="6"/>
  <c r="H79" i="6"/>
  <c r="I79" i="6" s="1"/>
  <c r="R79" i="6" s="1"/>
  <c r="G79" i="6"/>
  <c r="R76" i="6"/>
  <c r="Q76" i="6"/>
  <c r="K76" i="6"/>
  <c r="H76" i="6"/>
  <c r="I76" i="6" s="1"/>
  <c r="G76" i="6"/>
  <c r="Q73" i="6"/>
  <c r="K73" i="6"/>
  <c r="H73" i="6"/>
  <c r="I73" i="6" s="1"/>
  <c r="R73" i="6" s="1"/>
  <c r="G73" i="6"/>
  <c r="Q70" i="6"/>
  <c r="K70" i="6"/>
  <c r="H70" i="6"/>
  <c r="I70" i="6" s="1"/>
  <c r="R70" i="6" s="1"/>
  <c r="G70" i="6"/>
  <c r="Q67" i="6"/>
  <c r="K67" i="6"/>
  <c r="H67" i="6"/>
  <c r="I67" i="6" s="1"/>
  <c r="R67" i="6" s="1"/>
  <c r="G67" i="6"/>
  <c r="R64" i="6"/>
  <c r="Q64" i="6"/>
  <c r="K64" i="6"/>
  <c r="H64" i="6"/>
  <c r="I64" i="6" s="1"/>
  <c r="G64" i="6"/>
  <c r="Q62" i="6"/>
  <c r="I62" i="6"/>
  <c r="Q59" i="6"/>
  <c r="K59" i="6"/>
  <c r="H59" i="6"/>
  <c r="I59" i="6" s="1"/>
  <c r="R59" i="6" s="1"/>
  <c r="G59" i="6"/>
  <c r="Q56" i="6"/>
  <c r="K56" i="6"/>
  <c r="H56" i="6"/>
  <c r="I56" i="6" s="1"/>
  <c r="R56" i="6" s="1"/>
  <c r="G56" i="6"/>
  <c r="R53" i="6"/>
  <c r="Q53" i="6"/>
  <c r="K53" i="6"/>
  <c r="H53" i="6"/>
  <c r="I53" i="6" s="1"/>
  <c r="G53" i="6"/>
  <c r="Q51" i="6"/>
  <c r="I51" i="6"/>
  <c r="Q48" i="6"/>
  <c r="K48" i="6"/>
  <c r="H48" i="6"/>
  <c r="I48" i="6" s="1"/>
  <c r="R48" i="6" s="1"/>
  <c r="G48" i="6"/>
  <c r="Q45" i="6"/>
  <c r="K45" i="6"/>
  <c r="H45" i="6"/>
  <c r="I45" i="6" s="1"/>
  <c r="R45" i="6" s="1"/>
  <c r="G45" i="6"/>
  <c r="R42" i="6"/>
  <c r="Q42" i="6"/>
  <c r="K42" i="6"/>
  <c r="H42" i="6"/>
  <c r="I42" i="6" s="1"/>
  <c r="G42" i="6"/>
  <c r="Q39" i="6"/>
  <c r="K39" i="6"/>
  <c r="H39" i="6"/>
  <c r="I39" i="6" s="1"/>
  <c r="G51" i="6" s="1"/>
  <c r="J21" i="6" s="1"/>
  <c r="G39" i="6"/>
  <c r="Q37" i="6"/>
  <c r="I37" i="6"/>
  <c r="Q34" i="6"/>
  <c r="K34" i="6"/>
  <c r="H34" i="6"/>
  <c r="I34" i="6" s="1"/>
  <c r="R34" i="6" s="1"/>
  <c r="G34" i="6"/>
  <c r="R31" i="6"/>
  <c r="Q31" i="6"/>
  <c r="K31" i="6"/>
  <c r="H31" i="6"/>
  <c r="I31" i="6" s="1"/>
  <c r="G31" i="6"/>
  <c r="J25" i="6"/>
  <c r="I14" i="6"/>
  <c r="I13" i="6"/>
  <c r="A13" i="6"/>
  <c r="R11" i="6"/>
  <c r="I32" i="5"/>
  <c r="Q29" i="5"/>
  <c r="K29" i="5"/>
  <c r="I29" i="5"/>
  <c r="R29" i="5" s="1"/>
  <c r="H29" i="5"/>
  <c r="G29" i="5"/>
  <c r="Q26" i="5"/>
  <c r="Q32" i="5" s="1"/>
  <c r="K26" i="5"/>
  <c r="H26" i="5"/>
  <c r="G26" i="5"/>
  <c r="I26" i="5" s="1"/>
  <c r="I14" i="5"/>
  <c r="I13" i="5"/>
  <c r="A13" i="5"/>
  <c r="R11" i="5"/>
  <c r="E23" i="1" s="1"/>
  <c r="Q128" i="4"/>
  <c r="I128" i="4"/>
  <c r="Q125" i="4"/>
  <c r="K125" i="4"/>
  <c r="H125" i="4"/>
  <c r="I125" i="4" s="1"/>
  <c r="R125" i="4" s="1"/>
  <c r="G125" i="4"/>
  <c r="Q122" i="4"/>
  <c r="K122" i="4"/>
  <c r="H122" i="4"/>
  <c r="I122" i="4" s="1"/>
  <c r="R122" i="4" s="1"/>
  <c r="G122" i="4"/>
  <c r="Q119" i="4"/>
  <c r="K119" i="4"/>
  <c r="H119" i="4"/>
  <c r="I119" i="4" s="1"/>
  <c r="R119" i="4" s="1"/>
  <c r="G119" i="4"/>
  <c r="Q116" i="4"/>
  <c r="K116" i="4"/>
  <c r="H116" i="4"/>
  <c r="I116" i="4" s="1"/>
  <c r="G116" i="4"/>
  <c r="Q114" i="4"/>
  <c r="I114" i="4"/>
  <c r="Q111" i="4"/>
  <c r="K111" i="4"/>
  <c r="H111" i="4"/>
  <c r="I111" i="4" s="1"/>
  <c r="R111" i="4" s="1"/>
  <c r="G111" i="4"/>
  <c r="Q108" i="4"/>
  <c r="K108" i="4"/>
  <c r="H108" i="4"/>
  <c r="I108" i="4" s="1"/>
  <c r="R108" i="4" s="1"/>
  <c r="G108" i="4"/>
  <c r="Q105" i="4"/>
  <c r="K105" i="4"/>
  <c r="H105" i="4"/>
  <c r="I105" i="4" s="1"/>
  <c r="R105" i="4" s="1"/>
  <c r="G105" i="4"/>
  <c r="Q102" i="4"/>
  <c r="K102" i="4"/>
  <c r="H102" i="4"/>
  <c r="I102" i="4" s="1"/>
  <c r="G102" i="4"/>
  <c r="I100" i="4"/>
  <c r="Q97" i="4"/>
  <c r="K97" i="4"/>
  <c r="H97" i="4"/>
  <c r="I97" i="4" s="1"/>
  <c r="R97" i="4" s="1"/>
  <c r="G97" i="4"/>
  <c r="Q94" i="4"/>
  <c r="K94" i="4"/>
  <c r="H94" i="4"/>
  <c r="I94" i="4" s="1"/>
  <c r="R94" i="4" s="1"/>
  <c r="G94" i="4"/>
  <c r="Q91" i="4"/>
  <c r="K91" i="4"/>
  <c r="H91" i="4"/>
  <c r="I91" i="4" s="1"/>
  <c r="R91" i="4" s="1"/>
  <c r="G91" i="4"/>
  <c r="Q88" i="4"/>
  <c r="K88" i="4"/>
  <c r="H88" i="4"/>
  <c r="I88" i="4" s="1"/>
  <c r="R88" i="4" s="1"/>
  <c r="G88" i="4"/>
  <c r="Q85" i="4"/>
  <c r="K85" i="4"/>
  <c r="H85" i="4"/>
  <c r="I85" i="4" s="1"/>
  <c r="R85" i="4" s="1"/>
  <c r="G85" i="4"/>
  <c r="Q82" i="4"/>
  <c r="K82" i="4"/>
  <c r="H82" i="4"/>
  <c r="I82" i="4" s="1"/>
  <c r="R82" i="4" s="1"/>
  <c r="G82" i="4"/>
  <c r="Q79" i="4"/>
  <c r="K79" i="4"/>
  <c r="H79" i="4"/>
  <c r="I79" i="4" s="1"/>
  <c r="R79" i="4" s="1"/>
  <c r="G79" i="4"/>
  <c r="Q76" i="4"/>
  <c r="K76" i="4"/>
  <c r="H76" i="4"/>
  <c r="I76" i="4" s="1"/>
  <c r="R76" i="4" s="1"/>
  <c r="G76" i="4"/>
  <c r="Q73" i="4"/>
  <c r="K73" i="4"/>
  <c r="H73" i="4"/>
  <c r="I73" i="4" s="1"/>
  <c r="R73" i="4" s="1"/>
  <c r="G73" i="4"/>
  <c r="Q70" i="4"/>
  <c r="K70" i="4"/>
  <c r="H70" i="4"/>
  <c r="I70" i="4" s="1"/>
  <c r="R70" i="4" s="1"/>
  <c r="G70" i="4"/>
  <c r="Q67" i="4"/>
  <c r="Q100" i="4" s="1"/>
  <c r="K67" i="4"/>
  <c r="H67" i="4"/>
  <c r="I67" i="4" s="1"/>
  <c r="G67" i="4"/>
  <c r="Q65" i="4"/>
  <c r="I65" i="4"/>
  <c r="Q62" i="4"/>
  <c r="K62" i="4"/>
  <c r="H62" i="4"/>
  <c r="I62" i="4" s="1"/>
  <c r="G62" i="4"/>
  <c r="Q60" i="4"/>
  <c r="I60" i="4"/>
  <c r="Q57" i="4"/>
  <c r="K57" i="4"/>
  <c r="H57" i="4"/>
  <c r="I57" i="4" s="1"/>
  <c r="R57" i="4" s="1"/>
  <c r="G57" i="4"/>
  <c r="Q54" i="4"/>
  <c r="K54" i="4"/>
  <c r="H54" i="4"/>
  <c r="I54" i="4" s="1"/>
  <c r="R54" i="4" s="1"/>
  <c r="G54" i="4"/>
  <c r="Q51" i="4"/>
  <c r="K51" i="4"/>
  <c r="H51" i="4"/>
  <c r="I51" i="4" s="1"/>
  <c r="G51" i="4"/>
  <c r="Q49" i="4"/>
  <c r="I49" i="4"/>
  <c r="Q46" i="4"/>
  <c r="K46" i="4"/>
  <c r="H46" i="4"/>
  <c r="I46" i="4" s="1"/>
  <c r="R46" i="4" s="1"/>
  <c r="G46" i="4"/>
  <c r="Q43" i="4"/>
  <c r="K43" i="4"/>
  <c r="H43" i="4"/>
  <c r="I43" i="4" s="1"/>
  <c r="R43" i="4" s="1"/>
  <c r="G43" i="4"/>
  <c r="Q40" i="4"/>
  <c r="K40" i="4"/>
  <c r="H40" i="4"/>
  <c r="I40" i="4" s="1"/>
  <c r="G40" i="4"/>
  <c r="Q38" i="4"/>
  <c r="I38" i="4"/>
  <c r="Q35" i="4"/>
  <c r="K35" i="4"/>
  <c r="H35" i="4"/>
  <c r="I35" i="4" s="1"/>
  <c r="R35" i="4" s="1"/>
  <c r="G35" i="4"/>
  <c r="Q32" i="4"/>
  <c r="K32" i="4"/>
  <c r="H32" i="4"/>
  <c r="I32" i="4" s="1"/>
  <c r="G32" i="4"/>
  <c r="I14" i="4"/>
  <c r="I13" i="4"/>
  <c r="A13" i="4"/>
  <c r="I32" i="3"/>
  <c r="Q29" i="3"/>
  <c r="K29" i="3"/>
  <c r="I29" i="3"/>
  <c r="R29" i="3" s="1"/>
  <c r="H29" i="3"/>
  <c r="G29" i="3"/>
  <c r="Q26" i="3"/>
  <c r="Q32" i="3" s="1"/>
  <c r="K26" i="3"/>
  <c r="H26" i="3"/>
  <c r="G26" i="3"/>
  <c r="I26" i="3" s="1"/>
  <c r="I14" i="3"/>
  <c r="I13" i="3"/>
  <c r="A13" i="3"/>
  <c r="R11" i="3"/>
  <c r="I89" i="2"/>
  <c r="Q86" i="2"/>
  <c r="K86" i="2"/>
  <c r="H86" i="2"/>
  <c r="I86" i="2" s="1"/>
  <c r="R86" i="2" s="1"/>
  <c r="G86" i="2"/>
  <c r="Q83" i="2"/>
  <c r="K83" i="2"/>
  <c r="H83" i="2"/>
  <c r="I83" i="2" s="1"/>
  <c r="R83" i="2" s="1"/>
  <c r="G83" i="2"/>
  <c r="Q80" i="2"/>
  <c r="K80" i="2"/>
  <c r="H80" i="2"/>
  <c r="I80" i="2" s="1"/>
  <c r="R80" i="2" s="1"/>
  <c r="G80" i="2"/>
  <c r="Q77" i="2"/>
  <c r="K77" i="2"/>
  <c r="H77" i="2"/>
  <c r="I77" i="2" s="1"/>
  <c r="R77" i="2" s="1"/>
  <c r="G77" i="2"/>
  <c r="Q74" i="2"/>
  <c r="K74" i="2"/>
  <c r="H74" i="2"/>
  <c r="I74" i="2" s="1"/>
  <c r="R74" i="2" s="1"/>
  <c r="G74" i="2"/>
  <c r="Q71" i="2"/>
  <c r="Q89" i="2" s="1"/>
  <c r="K71" i="2"/>
  <c r="H71" i="2"/>
  <c r="I71" i="2" s="1"/>
  <c r="G71" i="2"/>
  <c r="Q69" i="2"/>
  <c r="I69" i="2"/>
  <c r="Q66" i="2"/>
  <c r="K66" i="2"/>
  <c r="H66" i="2"/>
  <c r="I66" i="2" s="1"/>
  <c r="R66" i="2" s="1"/>
  <c r="G66" i="2"/>
  <c r="Q63" i="2"/>
  <c r="K63" i="2"/>
  <c r="H63" i="2"/>
  <c r="I63" i="2" s="1"/>
  <c r="R63" i="2" s="1"/>
  <c r="G63" i="2"/>
  <c r="Q60" i="2"/>
  <c r="K60" i="2"/>
  <c r="H60" i="2"/>
  <c r="I60" i="2" s="1"/>
  <c r="R60" i="2" s="1"/>
  <c r="G60" i="2"/>
  <c r="Q57" i="2"/>
  <c r="K57" i="2"/>
  <c r="H57" i="2"/>
  <c r="I57" i="2" s="1"/>
  <c r="R57" i="2" s="1"/>
  <c r="G57" i="2"/>
  <c r="Q54" i="2"/>
  <c r="K54" i="2"/>
  <c r="H54" i="2"/>
  <c r="I54" i="2" s="1"/>
  <c r="R54" i="2" s="1"/>
  <c r="G54" i="2"/>
  <c r="Q51" i="2"/>
  <c r="K51" i="2"/>
  <c r="H51" i="2"/>
  <c r="I51" i="2" s="1"/>
  <c r="R51" i="2" s="1"/>
  <c r="G51" i="2"/>
  <c r="Q48" i="2"/>
  <c r="K48" i="2"/>
  <c r="H48" i="2"/>
  <c r="I48" i="2" s="1"/>
  <c r="R48" i="2" s="1"/>
  <c r="G48" i="2"/>
  <c r="Q45" i="2"/>
  <c r="K45" i="2"/>
  <c r="H45" i="2"/>
  <c r="I45" i="2" s="1"/>
  <c r="G45" i="2"/>
  <c r="I43" i="2"/>
  <c r="R11" i="2" s="1"/>
  <c r="E20" i="1" s="1"/>
  <c r="Q40" i="2"/>
  <c r="K40" i="2"/>
  <c r="H40" i="2"/>
  <c r="I40" i="2" s="1"/>
  <c r="R40" i="2" s="1"/>
  <c r="G40" i="2"/>
  <c r="Q37" i="2"/>
  <c r="K37" i="2"/>
  <c r="H37" i="2"/>
  <c r="I37" i="2" s="1"/>
  <c r="R37" i="2" s="1"/>
  <c r="G37" i="2"/>
  <c r="Q34" i="2"/>
  <c r="K34" i="2"/>
  <c r="H34" i="2"/>
  <c r="I34" i="2" s="1"/>
  <c r="R34" i="2" s="1"/>
  <c r="G34" i="2"/>
  <c r="Q31" i="2"/>
  <c r="K31" i="2"/>
  <c r="H31" i="2"/>
  <c r="I31" i="2" s="1"/>
  <c r="R31" i="2" s="1"/>
  <c r="G31" i="2"/>
  <c r="Q28" i="2"/>
  <c r="Q43" i="2" s="1"/>
  <c r="K28" i="2"/>
  <c r="H28" i="2"/>
  <c r="I28" i="2" s="1"/>
  <c r="G28" i="2"/>
  <c r="I14" i="2"/>
  <c r="I13" i="2"/>
  <c r="A13" i="2"/>
  <c r="E37" i="1"/>
  <c r="E36" i="1"/>
  <c r="E35" i="1"/>
  <c r="E34" i="1"/>
  <c r="E32" i="1"/>
  <c r="E29" i="1"/>
  <c r="D29" i="1"/>
  <c r="E28" i="1"/>
  <c r="E25" i="1"/>
  <c r="E24" i="1"/>
  <c r="E21" i="1"/>
  <c r="I26" i="13" l="1"/>
  <c r="G29" i="13" s="1"/>
  <c r="N2" i="20"/>
  <c r="N61" i="20" s="1"/>
  <c r="G69" i="2"/>
  <c r="J21" i="2" s="1"/>
  <c r="R45" i="2"/>
  <c r="R69" i="2" s="1"/>
  <c r="K69" i="2" s="1"/>
  <c r="K21" i="2" s="1"/>
  <c r="R71" i="2"/>
  <c r="R89" i="2" s="1"/>
  <c r="K89" i="2" s="1"/>
  <c r="K22" i="2" s="1"/>
  <c r="G89" i="2"/>
  <c r="J22" i="2" s="1"/>
  <c r="G100" i="4"/>
  <c r="J24" i="4" s="1"/>
  <c r="R67" i="4"/>
  <c r="R100" i="4" s="1"/>
  <c r="K100" i="4" s="1"/>
  <c r="K24" i="4" s="1"/>
  <c r="D37" i="1"/>
  <c r="R32" i="4"/>
  <c r="R38" i="4" s="1"/>
  <c r="S38" i="4" s="1"/>
  <c r="S20" i="4" s="1"/>
  <c r="G38" i="4"/>
  <c r="R51" i="4"/>
  <c r="R60" i="4" s="1"/>
  <c r="K60" i="4" s="1"/>
  <c r="K22" i="4" s="1"/>
  <c r="G60" i="4"/>
  <c r="J22" i="4" s="1"/>
  <c r="R26" i="5"/>
  <c r="R32" i="5" s="1"/>
  <c r="G32" i="5"/>
  <c r="G65" i="4"/>
  <c r="J23" i="4" s="1"/>
  <c r="R62" i="4"/>
  <c r="R65" i="4" s="1"/>
  <c r="S65" i="4" s="1"/>
  <c r="S23" i="4" s="1"/>
  <c r="K43" i="2"/>
  <c r="K20" i="2" s="1"/>
  <c r="G114" i="4"/>
  <c r="J25" i="4" s="1"/>
  <c r="R102" i="4"/>
  <c r="R114" i="4" s="1"/>
  <c r="K114" i="4" s="1"/>
  <c r="K25" i="4" s="1"/>
  <c r="G43" i="2"/>
  <c r="R28" i="2"/>
  <c r="R43" i="2" s="1"/>
  <c r="S43" i="2" s="1"/>
  <c r="S20" i="2" s="1"/>
  <c r="R26" i="3"/>
  <c r="R32" i="3" s="1"/>
  <c r="S32" i="3" s="1"/>
  <c r="S20" i="3" s="1"/>
  <c r="G32" i="3"/>
  <c r="R40" i="4"/>
  <c r="R49" i="4" s="1"/>
  <c r="S49" i="4" s="1"/>
  <c r="S21" i="4" s="1"/>
  <c r="G49" i="4"/>
  <c r="J21" i="4" s="1"/>
  <c r="S60" i="4"/>
  <c r="S22" i="4" s="1"/>
  <c r="R116" i="4"/>
  <c r="R128" i="4" s="1"/>
  <c r="K128" i="4" s="1"/>
  <c r="K26" i="4" s="1"/>
  <c r="G128" i="4"/>
  <c r="J26" i="4" s="1"/>
  <c r="S32" i="5"/>
  <c r="S20" i="5" s="1"/>
  <c r="K32" i="5"/>
  <c r="K20" i="5" s="1"/>
  <c r="S69" i="2"/>
  <c r="S21" i="2" s="1"/>
  <c r="S114" i="4"/>
  <c r="S25" i="4" s="1"/>
  <c r="R37" i="6"/>
  <c r="S37" i="6" s="1"/>
  <c r="S20" i="6" s="1"/>
  <c r="K102" i="6"/>
  <c r="K24" i="6" s="1"/>
  <c r="S102" i="6"/>
  <c r="S24" i="6" s="1"/>
  <c r="R27" i="7"/>
  <c r="R36" i="7" s="1"/>
  <c r="G36" i="7"/>
  <c r="G53" i="7"/>
  <c r="J21" i="7" s="1"/>
  <c r="R38" i="7"/>
  <c r="R53" i="7" s="1"/>
  <c r="S53" i="7" s="1"/>
  <c r="S21" i="7" s="1"/>
  <c r="G125" i="10"/>
  <c r="J22" i="10" s="1"/>
  <c r="R92" i="10"/>
  <c r="R125" i="10" s="1"/>
  <c r="K125" i="10" s="1"/>
  <c r="K22" i="10" s="1"/>
  <c r="Q210" i="10"/>
  <c r="R239" i="10"/>
  <c r="R281" i="10" s="1"/>
  <c r="G281" i="10"/>
  <c r="J28" i="10" s="1"/>
  <c r="J20" i="18"/>
  <c r="Q11" i="18" s="1"/>
  <c r="I11" i="18" s="1"/>
  <c r="F37" i="1" s="1"/>
  <c r="G29" i="14"/>
  <c r="R26" i="14"/>
  <c r="R29" i="14" s="1"/>
  <c r="S29" i="14" s="1"/>
  <c r="S20" i="14" s="1"/>
  <c r="K97" i="6"/>
  <c r="K23" i="6" s="1"/>
  <c r="R218" i="10"/>
  <c r="K218" i="10" s="1"/>
  <c r="K25" i="10" s="1"/>
  <c r="R62" i="6"/>
  <c r="S62" i="6" s="1"/>
  <c r="S22" i="6" s="1"/>
  <c r="R11" i="4"/>
  <c r="E22" i="1" s="1"/>
  <c r="R34" i="8"/>
  <c r="R40" i="8" s="1"/>
  <c r="G40" i="8"/>
  <c r="J21" i="8" s="1"/>
  <c r="G33" i="9"/>
  <c r="R64" i="10"/>
  <c r="G90" i="10"/>
  <c r="J21" i="10" s="1"/>
  <c r="R66" i="10"/>
  <c r="R90" i="10" s="1"/>
  <c r="G160" i="10"/>
  <c r="J23" i="10" s="1"/>
  <c r="R127" i="10"/>
  <c r="R160" i="10" s="1"/>
  <c r="S218" i="10"/>
  <c r="S25" i="10" s="1"/>
  <c r="G232" i="10"/>
  <c r="J26" i="10" s="1"/>
  <c r="R220" i="10"/>
  <c r="R232" i="10" s="1"/>
  <c r="R97" i="6"/>
  <c r="S97" i="6" s="1"/>
  <c r="S23" i="6" s="1"/>
  <c r="S125" i="10"/>
  <c r="S22" i="10" s="1"/>
  <c r="S40" i="8"/>
  <c r="S21" i="8" s="1"/>
  <c r="S32" i="11"/>
  <c r="S20" i="11" s="1"/>
  <c r="R42" i="12"/>
  <c r="R48" i="12" s="1"/>
  <c r="S48" i="12" s="1"/>
  <c r="S21" i="12" s="1"/>
  <c r="G48" i="12"/>
  <c r="J21" i="12" s="1"/>
  <c r="G29" i="15"/>
  <c r="R26" i="15"/>
  <c r="R29" i="15" s="1"/>
  <c r="K29" i="15" s="1"/>
  <c r="K20" i="15" s="1"/>
  <c r="G37" i="6"/>
  <c r="R39" i="6"/>
  <c r="R51" i="6" s="1"/>
  <c r="S51" i="6"/>
  <c r="S21" i="6" s="1"/>
  <c r="K51" i="6"/>
  <c r="K21" i="6" s="1"/>
  <c r="K62" i="6"/>
  <c r="K22" i="6" s="1"/>
  <c r="R104" i="6"/>
  <c r="R113" i="6" s="1"/>
  <c r="K113" i="6" s="1"/>
  <c r="K25" i="6" s="1"/>
  <c r="K36" i="7"/>
  <c r="K20" i="7" s="1"/>
  <c r="G38" i="9"/>
  <c r="J21" i="9" s="1"/>
  <c r="R35" i="9"/>
  <c r="R38" i="9" s="1"/>
  <c r="S38" i="9" s="1"/>
  <c r="S21" i="9" s="1"/>
  <c r="Q64" i="10"/>
  <c r="Q90" i="10"/>
  <c r="Q160" i="10"/>
  <c r="K232" i="10"/>
  <c r="K26" i="10" s="1"/>
  <c r="S232" i="10"/>
  <c r="S26" i="10" s="1"/>
  <c r="S237" i="10"/>
  <c r="S27" i="10" s="1"/>
  <c r="R31" i="12"/>
  <c r="R40" i="12" s="1"/>
  <c r="S40" i="12" s="1"/>
  <c r="S20" i="12" s="1"/>
  <c r="G40" i="12"/>
  <c r="G29" i="16"/>
  <c r="R26" i="16"/>
  <c r="R29" i="16" s="1"/>
  <c r="S29" i="16" s="1"/>
  <c r="S20" i="16" s="1"/>
  <c r="R26" i="18"/>
  <c r="R29" i="18" s="1"/>
  <c r="S29" i="18" s="1"/>
  <c r="S20" i="18" s="1"/>
  <c r="S36" i="7"/>
  <c r="S20" i="7" s="1"/>
  <c r="G32" i="8"/>
  <c r="R29" i="8"/>
  <c r="R32" i="8" s="1"/>
  <c r="S32" i="8" s="1"/>
  <c r="S20" i="8" s="1"/>
  <c r="G45" i="8"/>
  <c r="J22" i="8" s="1"/>
  <c r="R42" i="8"/>
  <c r="R45" i="8" s="1"/>
  <c r="K45" i="8" s="1"/>
  <c r="K22" i="8" s="1"/>
  <c r="S53" i="8"/>
  <c r="S23" i="8" s="1"/>
  <c r="R33" i="9"/>
  <c r="K33" i="9" s="1"/>
  <c r="K20" i="9" s="1"/>
  <c r="G210" i="10"/>
  <c r="J24" i="10" s="1"/>
  <c r="R162" i="10"/>
  <c r="R210" i="10" s="1"/>
  <c r="S11" i="11"/>
  <c r="S29" i="1" s="1"/>
  <c r="I11" i="11"/>
  <c r="F29" i="1" s="1"/>
  <c r="K48" i="12"/>
  <c r="K21" i="12" s="1"/>
  <c r="G70" i="12"/>
  <c r="J23" i="12" s="1"/>
  <c r="R67" i="12"/>
  <c r="R70" i="12" s="1"/>
  <c r="S70" i="12" s="1"/>
  <c r="S23" i="12" s="1"/>
  <c r="R93" i="12"/>
  <c r="S93" i="12" s="1"/>
  <c r="S24" i="12" s="1"/>
  <c r="S281" i="10"/>
  <c r="S28" i="10" s="1"/>
  <c r="K281" i="10"/>
  <c r="K28" i="10" s="1"/>
  <c r="G62" i="6"/>
  <c r="J22" i="6" s="1"/>
  <c r="G97" i="6"/>
  <c r="J23" i="6" s="1"/>
  <c r="R47" i="8"/>
  <c r="R53" i="8" s="1"/>
  <c r="K53" i="8" s="1"/>
  <c r="K23" i="8" s="1"/>
  <c r="G64" i="10"/>
  <c r="R32" i="11"/>
  <c r="K32" i="11" s="1"/>
  <c r="K20" i="11" s="1"/>
  <c r="K29" i="16"/>
  <c r="K20" i="16" s="1"/>
  <c r="G29" i="17"/>
  <c r="R26" i="17"/>
  <c r="R29" i="17" s="1"/>
  <c r="S29" i="17" s="1"/>
  <c r="S20" i="17" s="1"/>
  <c r="K237" i="10"/>
  <c r="K27" i="10" s="1"/>
  <c r="K40" i="8"/>
  <c r="K21" i="8" s="1"/>
  <c r="K40" i="12"/>
  <c r="K20" i="12" s="1"/>
  <c r="G93" i="12"/>
  <c r="J24" i="12" s="1"/>
  <c r="G218" i="10"/>
  <c r="J25" i="10" s="1"/>
  <c r="R50" i="12"/>
  <c r="R65" i="12" s="1"/>
  <c r="K65" i="12" s="1"/>
  <c r="K22" i="12" s="1"/>
  <c r="R95" i="12"/>
  <c r="R98" i="12" s="1"/>
  <c r="S98" i="12" s="1"/>
  <c r="S25" i="12" s="1"/>
  <c r="K29" i="17" l="1"/>
  <c r="K20" i="17" s="1"/>
  <c r="R26" i="13"/>
  <c r="R29" i="13" s="1"/>
  <c r="K29" i="13" s="1"/>
  <c r="K20" i="13" s="1"/>
  <c r="K29" i="14"/>
  <c r="K20" i="14" s="1"/>
  <c r="J20" i="17"/>
  <c r="Q11" i="17" s="1"/>
  <c r="I10" i="17"/>
  <c r="S33" i="9"/>
  <c r="S20" i="9" s="1"/>
  <c r="I10" i="6"/>
  <c r="J20" i="6"/>
  <c r="Q11" i="6" s="1"/>
  <c r="S65" i="12"/>
  <c r="S22" i="12" s="1"/>
  <c r="K32" i="8"/>
  <c r="K20" i="8" s="1"/>
  <c r="S128" i="4"/>
  <c r="S26" i="4" s="1"/>
  <c r="S11" i="18"/>
  <c r="S37" i="1" s="1"/>
  <c r="K29" i="18"/>
  <c r="K20" i="18" s="1"/>
  <c r="K37" i="6"/>
  <c r="K20" i="6" s="1"/>
  <c r="K93" i="12"/>
  <c r="K24" i="12" s="1"/>
  <c r="J20" i="3"/>
  <c r="Q11" i="3" s="1"/>
  <c r="I10" i="3"/>
  <c r="K38" i="4"/>
  <c r="K20" i="4" s="1"/>
  <c r="K49" i="4"/>
  <c r="K21" i="4" s="1"/>
  <c r="S90" i="10"/>
  <c r="S21" i="10" s="1"/>
  <c r="K90" i="10"/>
  <c r="K21" i="10" s="1"/>
  <c r="J20" i="13"/>
  <c r="I10" i="13"/>
  <c r="J20" i="15"/>
  <c r="Q11" i="15" s="1"/>
  <c r="I10" i="15"/>
  <c r="S29" i="15"/>
  <c r="S20" i="15" s="1"/>
  <c r="J20" i="16"/>
  <c r="Q11" i="16" s="1"/>
  <c r="I10" i="16"/>
  <c r="S64" i="10"/>
  <c r="S20" i="10" s="1"/>
  <c r="K64" i="10"/>
  <c r="K20" i="10" s="1"/>
  <c r="J20" i="9"/>
  <c r="Q11" i="9" s="1"/>
  <c r="I10" i="9"/>
  <c r="K98" i="12"/>
  <c r="K25" i="12" s="1"/>
  <c r="K210" i="10"/>
  <c r="K24" i="10" s="1"/>
  <c r="S210" i="10"/>
  <c r="S24" i="10" s="1"/>
  <c r="J20" i="7"/>
  <c r="Q11" i="7" s="1"/>
  <c r="I10" i="7"/>
  <c r="S89" i="2"/>
  <c r="S22" i="2" s="1"/>
  <c r="J20" i="2"/>
  <c r="Q11" i="2" s="1"/>
  <c r="I10" i="2"/>
  <c r="S100" i="4"/>
  <c r="S24" i="4" s="1"/>
  <c r="J20" i="10"/>
  <c r="Q11" i="10" s="1"/>
  <c r="I10" i="10"/>
  <c r="J20" i="12"/>
  <c r="Q11" i="12" s="1"/>
  <c r="I10" i="12"/>
  <c r="J20" i="14"/>
  <c r="Q11" i="14" s="1"/>
  <c r="I10" i="14"/>
  <c r="K53" i="7"/>
  <c r="K21" i="7" s="1"/>
  <c r="J20" i="5"/>
  <c r="Q11" i="5" s="1"/>
  <c r="I10" i="5"/>
  <c r="K32" i="3"/>
  <c r="K20" i="3" s="1"/>
  <c r="J20" i="4"/>
  <c r="Q11" i="4" s="1"/>
  <c r="I10" i="4"/>
  <c r="J20" i="8"/>
  <c r="Q11" i="8" s="1"/>
  <c r="I10" i="8"/>
  <c r="K70" i="12"/>
  <c r="K23" i="12" s="1"/>
  <c r="S45" i="8"/>
  <c r="S22" i="8" s="1"/>
  <c r="S113" i="6"/>
  <c r="S25" i="6" s="1"/>
  <c r="K65" i="4"/>
  <c r="K23" i="4" s="1"/>
  <c r="S160" i="10"/>
  <c r="S23" i="10" s="1"/>
  <c r="K160" i="10"/>
  <c r="K23" i="10" s="1"/>
  <c r="K38" i="9"/>
  <c r="K21" i="9" s="1"/>
  <c r="S29" i="13" l="1"/>
  <c r="S20" i="13" s="1"/>
  <c r="Q11" i="13" s="1"/>
  <c r="I11" i="13" s="1"/>
  <c r="F31" i="1" s="1"/>
  <c r="D23" i="1"/>
  <c r="S11" i="5"/>
  <c r="S23" i="1" s="1"/>
  <c r="I11" i="5"/>
  <c r="F23" i="1" s="1"/>
  <c r="S11" i="15"/>
  <c r="S34" i="1" s="1"/>
  <c r="I11" i="15"/>
  <c r="F34" i="1" s="1"/>
  <c r="D34" i="1"/>
  <c r="S11" i="3"/>
  <c r="S21" i="1" s="1"/>
  <c r="D21" i="1"/>
  <c r="I11" i="3"/>
  <c r="F21" i="1" s="1"/>
  <c r="I11" i="2"/>
  <c r="F20" i="1" s="1"/>
  <c r="D20" i="1"/>
  <c r="S11" i="2"/>
  <c r="S20" i="1" s="1"/>
  <c r="I11" i="8"/>
  <c r="F26" i="1" s="1"/>
  <c r="S11" i="8"/>
  <c r="S26" i="1" s="1"/>
  <c r="D26" i="1"/>
  <c r="D31" i="1"/>
  <c r="S11" i="6"/>
  <c r="S24" i="1" s="1"/>
  <c r="I11" i="6"/>
  <c r="F24" i="1" s="1"/>
  <c r="D24" i="1"/>
  <c r="S11" i="4"/>
  <c r="S22" i="1" s="1"/>
  <c r="D22" i="1"/>
  <c r="I11" i="4"/>
  <c r="F22" i="1" s="1"/>
  <c r="S11" i="7"/>
  <c r="S25" i="1" s="1"/>
  <c r="D25" i="1"/>
  <c r="I11" i="7"/>
  <c r="F25" i="1" s="1"/>
  <c r="I11" i="9"/>
  <c r="F27" i="1" s="1"/>
  <c r="S11" i="9"/>
  <c r="S27" i="1" s="1"/>
  <c r="D27" i="1"/>
  <c r="I11" i="14"/>
  <c r="F32" i="1" s="1"/>
  <c r="S11" i="14"/>
  <c r="S32" i="1" s="1"/>
  <c r="D32" i="1"/>
  <c r="I11" i="12"/>
  <c r="F30" i="1" s="1"/>
  <c r="S11" i="12"/>
  <c r="S30" i="1" s="1"/>
  <c r="D30" i="1"/>
  <c r="S11" i="16"/>
  <c r="S35" i="1" s="1"/>
  <c r="I11" i="16"/>
  <c r="F35" i="1" s="1"/>
  <c r="D35" i="1"/>
  <c r="S11" i="17"/>
  <c r="S36" i="1" s="1"/>
  <c r="I11" i="17"/>
  <c r="F36" i="1" s="1"/>
  <c r="D36" i="1"/>
  <c r="S11" i="10"/>
  <c r="S28" i="1" s="1"/>
  <c r="I11" i="10"/>
  <c r="F28" i="1" s="1"/>
  <c r="D28" i="1"/>
  <c r="S11" i="13" l="1"/>
  <c r="S31" i="1" s="1"/>
  <c r="F13" i="1" s="1"/>
  <c r="F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Tomas_R</author>
  </authors>
  <commentList>
    <comment ref="H26" authorId="0" shapeId="0" xr:uid="{1B77992D-B757-41D6-AA84-CD83E00E734B}">
      <text>
        <r>
          <rPr>
            <b/>
            <sz val="9"/>
            <color indexed="81"/>
            <rFont val="Tahoma"/>
            <charset val="1"/>
          </rPr>
          <t>Tomas_R:</t>
        </r>
        <r>
          <rPr>
            <sz val="9"/>
            <color indexed="81"/>
            <rFont val="Tahoma"/>
            <charset val="1"/>
          </rPr>
          <t xml:space="preserve">
Odkaz na list s podrobným soupisem.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Tomas_R</author>
  </authors>
  <commentList>
    <comment ref="H26" authorId="0" shapeId="0" xr:uid="{90E9932D-C4AC-41A2-8BCF-AC19E1B707EC}">
      <text>
        <r>
          <rPr>
            <b/>
            <sz val="9"/>
            <color indexed="81"/>
            <rFont val="Tahoma"/>
            <charset val="1"/>
          </rPr>
          <t>Tomas_R:</t>
        </r>
        <r>
          <rPr>
            <sz val="9"/>
            <color indexed="81"/>
            <rFont val="Tahoma"/>
            <charset val="1"/>
          </rPr>
          <t xml:space="preserve">
Odkaz na list s podrobným soupisem.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Tomas_R</author>
  </authors>
  <commentList>
    <comment ref="H26" authorId="0" shapeId="0" xr:uid="{CBAE82AB-8C37-4BEF-9FB7-56656603D2A7}">
      <text>
        <r>
          <rPr>
            <b/>
            <sz val="9"/>
            <color indexed="81"/>
            <rFont val="Tahoma"/>
            <charset val="1"/>
          </rPr>
          <t>Tomas_R:</t>
        </r>
        <r>
          <rPr>
            <sz val="9"/>
            <color indexed="81"/>
            <rFont val="Tahoma"/>
            <charset val="1"/>
          </rPr>
          <t xml:space="preserve">
Odkaz na list s podrobným soupisem.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Tomas_R</author>
  </authors>
  <commentList>
    <comment ref="H26" authorId="0" shapeId="0" xr:uid="{D43E1767-EDEC-44C8-8C06-836A267467CC}">
      <text>
        <r>
          <rPr>
            <b/>
            <sz val="9"/>
            <color indexed="81"/>
            <rFont val="Tahoma"/>
            <charset val="1"/>
          </rPr>
          <t>Tomas_R:</t>
        </r>
        <r>
          <rPr>
            <sz val="9"/>
            <color indexed="81"/>
            <rFont val="Tahoma"/>
            <charset val="1"/>
          </rPr>
          <t xml:space="preserve">
Odkaz na list s podrobným soupisem.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Tomas_R</author>
  </authors>
  <commentList>
    <comment ref="H26" authorId="0" shapeId="0" xr:uid="{E2F574CA-AA58-4FA9-B818-E050946F5FB0}">
      <text>
        <r>
          <rPr>
            <b/>
            <sz val="9"/>
            <color indexed="81"/>
            <rFont val="Tahoma"/>
            <charset val="1"/>
          </rPr>
          <t>Tomas_R:</t>
        </r>
        <r>
          <rPr>
            <sz val="9"/>
            <color indexed="81"/>
            <rFont val="Tahoma"/>
            <charset val="1"/>
          </rPr>
          <t xml:space="preserve">
Odkaz na list s podrobným soupisem.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Tomas_R</author>
  </authors>
  <commentList>
    <comment ref="H26" authorId="0" shapeId="0" xr:uid="{EB258A05-F231-45BA-AA72-9C719B0CFA1A}">
      <text>
        <r>
          <rPr>
            <b/>
            <sz val="9"/>
            <color indexed="81"/>
            <rFont val="Tahoma"/>
            <charset val="1"/>
          </rPr>
          <t>Tomas_R:</t>
        </r>
        <r>
          <rPr>
            <sz val="9"/>
            <color indexed="81"/>
            <rFont val="Tahoma"/>
            <charset val="1"/>
          </rPr>
          <t xml:space="preserve">
Odkaz na list s podrobným soupisem.</t>
        </r>
      </text>
    </comment>
  </commentList>
</comments>
</file>

<file path=xl/sharedStrings.xml><?xml version="1.0" encoding="utf-8"?>
<sst xmlns="http://schemas.openxmlformats.org/spreadsheetml/2006/main" count="7269" uniqueCount="1276">
  <si>
    <t>v.1.0.0.106</t>
  </si>
  <si>
    <t>SOUPIS PRACÍ</t>
  </si>
  <si>
    <t>STAVBA</t>
  </si>
  <si>
    <t>PDPS - LÁVKA PŘES LABE V NYMBURKU</t>
  </si>
  <si>
    <t>ZÁKLADNÍ ÚDAJE</t>
  </si>
  <si>
    <t xml:space="preserve">Objekt: </t>
  </si>
  <si>
    <t>SO010UN - Příprava staveniště</t>
  </si>
  <si>
    <t xml:space="preserve">Zhotovitel: </t>
  </si>
  <si>
    <t xml:space="preserve">IČ: </t>
  </si>
  <si>
    <t xml:space="preserve">DIČ: </t>
  </si>
  <si>
    <t>SOUHRN</t>
  </si>
  <si>
    <t>Kód</t>
  </si>
  <si>
    <t>Název</t>
  </si>
  <si>
    <t>Cena (bez DPH)</t>
  </si>
  <si>
    <t>Cena (s DPH)</t>
  </si>
  <si>
    <t>POLOŽKY ROZPOČTU</t>
  </si>
  <si>
    <t>P.č.</t>
  </si>
  <si>
    <t>Var</t>
  </si>
  <si>
    <t>MJ</t>
  </si>
  <si>
    <t>Množství MJ</t>
  </si>
  <si>
    <t>JOC</t>
  </si>
  <si>
    <t>DPH %</t>
  </si>
  <si>
    <t>015111</t>
  </si>
  <si>
    <t>POPLATKY ZA LIKVIDACI ODPADŮ NEKONTAMINOVANÝCH - 17 05 04  VYTĚŽENÉ ZEMINY A HORNINY -  I. TŘÍDA TĚŽITELNOSTI</t>
  </si>
  <si>
    <t>T</t>
  </si>
  <si>
    <t/>
  </si>
  <si>
    <t>přebytečné konstrukční vrstvy</t>
  </si>
  <si>
    <t>doplňující popis</t>
  </si>
  <si>
    <t>výměra</t>
  </si>
  <si>
    <t>015130</t>
  </si>
  <si>
    <t>POPLATKY ZA LIKVIDACI ODPADŮ NEKONTAMINOVANÝCH - 17 03 02  VYBOURANÝ ASFALTOVÝ BETON BEZ DEHTU</t>
  </si>
  <si>
    <t>odfrézované vrstvy</t>
  </si>
  <si>
    <t>015140</t>
  </si>
  <si>
    <t>POPLATKY ZA LIKVIDACI ODPADŮ NEKONTAMINOVANÝCH - 17 01 01  BETON Z DEMOLIC OBJEKTŮ, ZÁKLADŮ TV</t>
  </si>
  <si>
    <t>drobné prvky - betonové obrubníky, žlaby, lože</t>
  </si>
  <si>
    <t>015160</t>
  </si>
  <si>
    <t>POPLATKY ZA LIKVIDACI ODPADŮ NEKONTAMINOVANÝCH - 02 01 03  SMÝCENÉ STROMY A KEŘE</t>
  </si>
  <si>
    <t>pařezy pokácených stromů</t>
  </si>
  <si>
    <t>02710</t>
  </si>
  <si>
    <t>POMOC PRÁCE ZŘÍZ NEBO ZAJIŠŤ OBJÍŽĎKY A PŘÍSTUP CESTY</t>
  </si>
  <si>
    <t>KPL</t>
  </si>
  <si>
    <t>vč. pronájmu, montáže a demontáže DZ</t>
  </si>
  <si>
    <t>0 - Všeobecné konstrukce a práce</t>
  </si>
  <si>
    <t>Všeobecné konstrukce a práce</t>
  </si>
  <si>
    <t xml:space="preserve">Celkem (bez DPH): </t>
  </si>
  <si>
    <t xml:space="preserve">DPH %: </t>
  </si>
  <si>
    <t xml:space="preserve">Celkem (s DPH): </t>
  </si>
  <si>
    <t>11130</t>
  </si>
  <si>
    <t>SEJMUTÍ DRNU</t>
  </si>
  <si>
    <t>M2</t>
  </si>
  <si>
    <t>112216</t>
  </si>
  <si>
    <t>ODSTRANĚNÍ PAŘEZŮ D DO 0,5M, ODVOZ DO 12KM</t>
  </si>
  <si>
    <t>KUS</t>
  </si>
  <si>
    <t>11328</t>
  </si>
  <si>
    <t>ODSTRANĚNÍ PŘÍKOPŮ, ŽLABŮ A RIGOLŮ Z PŘÍKOPOVÝCH TVÁRNIC</t>
  </si>
  <si>
    <t>11332</t>
  </si>
  <si>
    <t>ODSTRANĚNÍ PODKLADŮ ZPEVNĚNÝCH PLOCH Z KAMENIVA NESTMELENÉHO</t>
  </si>
  <si>
    <t>M3</t>
  </si>
  <si>
    <t>vybourání podkladních vrstev v tl. 0,5m (uskladnění na stavbě - použijí se do sanace podloží)</t>
  </si>
  <si>
    <t>113484</t>
  </si>
  <si>
    <t>ODSTRANĚNÍ KRYTU ZPEVNĚNÝCH PLOCH Z DLAŽDIC VČETNĚ PODKLADU, ODVOZ DO 5KM</t>
  </si>
  <si>
    <t>dlažba bude odvezena na skládku investora</t>
  </si>
  <si>
    <t>11352</t>
  </si>
  <si>
    <t>ODSTRANĚNÍ CHODNÍKOVÝCH A SILNIČNÍCH OBRUBNÍKŮ BETONOVÝCH</t>
  </si>
  <si>
    <t>M</t>
  </si>
  <si>
    <t>vč.betonového lože</t>
  </si>
  <si>
    <t>113726</t>
  </si>
  <si>
    <t>FRÉZOVÁNÍ ZPEVNĚNÝCH PLOCH ASFALTOVÝCH, ODVOZ DO 12KM</t>
  </si>
  <si>
    <t>frézování tl. 100mm vč. odvozu</t>
  </si>
  <si>
    <t>18481</t>
  </si>
  <si>
    <t>OCHRANA STROMŮ BEDNĚNÍM</t>
  </si>
  <si>
    <t>1 - Zemní práce</t>
  </si>
  <si>
    <t>Zemní práce</t>
  </si>
  <si>
    <t>914123</t>
  </si>
  <si>
    <t>DOPRAVNÍ ZNAČKY ZÁKLADNÍ VELIKOSTI OCELOVÉ FÓLIE TŘ 1 - DEMONTÁŽ</t>
  </si>
  <si>
    <t>914913</t>
  </si>
  <si>
    <t>SLOUPKY A STOJKY DZ Z OCEL TRUBEK ZABETON DEMONTÁŽ</t>
  </si>
  <si>
    <t>916811</t>
  </si>
  <si>
    <t>ODDĚL OPLOCENÍ S PODSTAVCI DRÁTĚNNÉ - DOD A MONTÁŽ</t>
  </si>
  <si>
    <t>916813</t>
  </si>
  <si>
    <t>ODDĚL OPLOCENÍ S PODSTAVCI DRÁTĚNNÉ - DEMONTÁŽ</t>
  </si>
  <si>
    <t>919111</t>
  </si>
  <si>
    <t>ŘEZÁNÍ ASFALTOVÉHO KRYTU VOZOVEK TL DO 50MM</t>
  </si>
  <si>
    <t>966116</t>
  </si>
  <si>
    <t>BOURÁNÍ KONSTRUKCÍ Z BETON DÍLCŮ S ODVOZEM DO 12KM</t>
  </si>
  <si>
    <t>demolice drobné stavby</t>
  </si>
  <si>
    <t>9 - Ostatní konstrukce a práce</t>
  </si>
  <si>
    <t>Ostatní konstrukce a práce</t>
  </si>
  <si>
    <t xml:space="preserve">Celková cena (bez DPH): </t>
  </si>
  <si>
    <t xml:space="preserve">Celková cena (s DPH): </t>
  </si>
  <si>
    <t>SO151NN - Úprava zpevněných ploch u opěry 1</t>
  </si>
  <si>
    <t>914321</t>
  </si>
  <si>
    <t>NN</t>
  </si>
  <si>
    <t>DOPRAV ZNAČKY ZMENŠ VEL OCEL FÓLIE TŘ 1 - DODÁVKA A MONT</t>
  </si>
  <si>
    <t>914921</t>
  </si>
  <si>
    <t>SLOUPKY A STOJKY DOPRAVNÍCH ZNAČEK Z OCEL TRUBEK DO PATKY - DODÁVKA A MONTÁŽ</t>
  </si>
  <si>
    <t>SO151UN - Úprava zpevněných ploch u opěry 1</t>
  </si>
  <si>
    <t>přebytečný výkop z aktivní zóny</t>
  </si>
  <si>
    <t>02851</t>
  </si>
  <si>
    <t>PRŮZKUMNÉ PRÁCE DIAGNOSTIKY KONSTRUKCÍ NA POVRCHU</t>
  </si>
  <si>
    <t>statická kontrolní zkouška modulu přetvárnosti na zemní pláni a ŠD vrstvě</t>
  </si>
  <si>
    <t>123736</t>
  </si>
  <si>
    <t>ODKOP PRO SPOD STAVBU SILNIC A ŽELEZNIC TŘ. I, ODVOZ DO 12KM</t>
  </si>
  <si>
    <t>Výkop  aktivní zóny tl. 300 mm;  vč. odvozu na skládku</t>
  </si>
  <si>
    <t>17131</t>
  </si>
  <si>
    <t>ULOŽENÍ SYPANINY DO NÁSYPŮ V AKTIVNÍ ZÓNĚ SE ZHUT SE ZLEPŠENÍM ZEMINY</t>
  </si>
  <si>
    <t>Výměna aktivní zóny tl. 300 mm;  použije se ŠD z původních podkladních vrstev</t>
  </si>
  <si>
    <t>18110</t>
  </si>
  <si>
    <t>ÚPRAVA PLÁNĚ SE ZHUTNĚNÍM V HORNINĚ TŘ. I</t>
  </si>
  <si>
    <t>212625</t>
  </si>
  <si>
    <t>TRATIVODY KOMPL Z TRUB Z PLAST HM DN DO 100MM, RÝHA TŘ I</t>
  </si>
  <si>
    <t>21461</t>
  </si>
  <si>
    <t>SEPARAČNÍ GEOTEXTILIE</t>
  </si>
  <si>
    <t>Podélná drenáž; nutno specifikovat materiál</t>
  </si>
  <si>
    <t>28999</t>
  </si>
  <si>
    <t>OPLÁŠTĚNÍ (ZPEVNĚNÍ) Z FÓLIE</t>
  </si>
  <si>
    <t>Nopová fólie</t>
  </si>
  <si>
    <t>2 - Základy</t>
  </si>
  <si>
    <t>Základy</t>
  </si>
  <si>
    <t>465923</t>
  </si>
  <si>
    <t>PŘEDLÁŽDĚNÍ DLAŽBY Z BETON DLAŽDIC</t>
  </si>
  <si>
    <t>4 - Vodorovné konstrukce</t>
  </si>
  <si>
    <t>Vodorovné konstrukce</t>
  </si>
  <si>
    <t>56333</t>
  </si>
  <si>
    <t>VOZOVKOVÉ VRSTVY ZE ŠTĚRKODRTI TL. DO 150MM</t>
  </si>
  <si>
    <t>podkladní vrstvy dlážděných vozovek</t>
  </si>
  <si>
    <t>56335</t>
  </si>
  <si>
    <t>VOZOVKOVÉ VRSTVY ZE ŠTĚRKODRTI TL. DO 250MM</t>
  </si>
  <si>
    <t>podkladní vrstvy asf. vozovek</t>
  </si>
  <si>
    <t>572123</t>
  </si>
  <si>
    <t>INFILTRAČNÍ POSTŘIK Z EMULZE DO 1,0KG/M2</t>
  </si>
  <si>
    <t>0,6 kg/m2</t>
  </si>
  <si>
    <t>572214</t>
  </si>
  <si>
    <t>SPOJOVACÍ POSTŘIK Z MODIFIK EMULZE DO 0,5KG/M2</t>
  </si>
  <si>
    <t>0,3 kg/m2</t>
  </si>
  <si>
    <t>574A33</t>
  </si>
  <si>
    <t>ASFALTOVÝ BETON PRO OBRUSNÉ VRSTVY ACO 11 TL. 40MM</t>
  </si>
  <si>
    <t>574C46</t>
  </si>
  <si>
    <t>ASFALTOVÝ BETON PRO LOŽNÍ VRSTVY ACL 16+, 16S TL. 50MM</t>
  </si>
  <si>
    <t>574E88</t>
  </si>
  <si>
    <t>ASFALTOVÝ BETON PRO PODKLADNÍ VRSTVY ACP 22+, 22S TL. 90MM</t>
  </si>
  <si>
    <t>582611</t>
  </si>
  <si>
    <t>KRYTY Z BETON DLAŽDIC SE ZÁMKEM ŠEDÝCH TL 60MM DO LOŽE Z KAM</t>
  </si>
  <si>
    <t>chodník</t>
  </si>
  <si>
    <t>582612</t>
  </si>
  <si>
    <t>KRYTY Z BETON DLAŽDIC SE ZÁMKEM ŠEDÝCH TL 80MM DO LOŽE Z KAM</t>
  </si>
  <si>
    <t>pojížděné plochy</t>
  </si>
  <si>
    <t>58261A</t>
  </si>
  <si>
    <t>KRYTY Z BETON DLAŽDIC SE ZÁMKEM BAREV RELIÉF TL 60MM DO LOŽE Z KAM</t>
  </si>
  <si>
    <t>58261B</t>
  </si>
  <si>
    <t>KRYTY Z BETON DLAŽDIC SE ZÁMKEM BAREV RELIÉF TL 80MM DO LOŽE Z KAM</t>
  </si>
  <si>
    <t>5 - Komunikace</t>
  </si>
  <si>
    <t>Komunikace</t>
  </si>
  <si>
    <t>89921</t>
  </si>
  <si>
    <t>VÝŠKOVÁ ÚPRAVA POKLOPŮ</t>
  </si>
  <si>
    <t>89922</t>
  </si>
  <si>
    <t>VÝŠKOVÁ ÚPRAVA MŘÍŽÍ</t>
  </si>
  <si>
    <t>89923</t>
  </si>
  <si>
    <t>VÝŠKOVÁ ÚPRAVA KRYCÍCH HRNCŮ</t>
  </si>
  <si>
    <t>89942</t>
  </si>
  <si>
    <t>VÝŘEZ, VÝSEK, ÚTES NA POTRUBÍ DN DO 100MM</t>
  </si>
  <si>
    <t>napojení trativodů do kanalizace</t>
  </si>
  <si>
    <t>8 - Potrubí</t>
  </si>
  <si>
    <t>Potrubí</t>
  </si>
  <si>
    <t>917223</t>
  </si>
  <si>
    <t>SILNIČNÍ A CHODNÍKOVÉ OBRUBY Z BETONOVÝCH OBRUBNÍKŮ ŠÍŘ 100MM</t>
  </si>
  <si>
    <t>Obrubník 100x250x1000 VPRAVO vč. bet. lože C16/20-XF1, min. tl. 100mm_x000D_
včetně betonového lože i boční opěrky</t>
  </si>
  <si>
    <t>917224</t>
  </si>
  <si>
    <t>SILNIČNÍ A CHODNÍKOVÉ OBRUBY Z BETONOVÝCH OBRUBNÍKŮ ŠÍŘ 150MM</t>
  </si>
  <si>
    <t>včetně betonového lože i boční opěrky</t>
  </si>
  <si>
    <t>Obrubník 150x250x1000  = 40,5m = 40,500000 =&gt; A _x000D_
Obrubník 150x150x1000  = 17,5m = 17,500000 =&gt; B _x000D_
Obrubník náběhový = 3,0m = 3,000000 =&gt; C _x000D_
C+B+A = 61,000000 =&gt; D</t>
  </si>
  <si>
    <t>931312</t>
  </si>
  <si>
    <t>TĚSNĚNÍ DILATAČ SPAR ASF ZÁLIVKOU PRŮŘ DO 200MM2</t>
  </si>
  <si>
    <t>935212</t>
  </si>
  <si>
    <t>PŘÍKOPOVÉ ŽLABY Z BETON TVÁRNIC ŠÍŘ DO 600MM DO BETONU TL 100MM</t>
  </si>
  <si>
    <t>SO152NN - Úprava zpevněných ploch na levém břehu Labe</t>
  </si>
  <si>
    <t>914121</t>
  </si>
  <si>
    <t>DOPRAVNÍ ZNAČKY ZÁKLADNÍ VELIKOSTI OCELOVÉ FÓLIE TŘ 1 - DODÁVKA A MONTÁŽ</t>
  </si>
  <si>
    <t>SO152UN - Úprava zpevněných ploch na levém břehu Labe</t>
  </si>
  <si>
    <t>17310</t>
  </si>
  <si>
    <t>ZEMNÍ KRAJNICE A DOSYPÁVKY SE ZHUTNĚNÍM</t>
  </si>
  <si>
    <t>56930</t>
  </si>
  <si>
    <t>ZPEVNĚNÍ KRAJNIC ZE ŠTĚRKODRTI</t>
  </si>
  <si>
    <t>tl. 150 mm_x000D_
množství dle prílohy Výkaz hmot</t>
  </si>
  <si>
    <t>58211</t>
  </si>
  <si>
    <t>R</t>
  </si>
  <si>
    <t>DLÁŽDĚNÉ KRYTY Z VELKÝCH KOSTEK DO LOŽE Z KAMENIVA</t>
  </si>
  <si>
    <t>Obrubník 150x250x1000  = 31,5m = 31,500000 =&gt; A _x000D_
Obrubník 150x150x1000  = 9,5 = 9,500000 =&gt; B _x000D_
Obrubník náběhový = 4,0m = 4,000000 =&gt; C _x000D_
C+B+A = 45,000000 =&gt; D</t>
  </si>
  <si>
    <t>SO153NN - Úprava zpevněných ploch u opěry 7</t>
  </si>
  <si>
    <t>18222</t>
  </si>
  <si>
    <t>ROZPROSTŘENÍ ORNICE VE SVAHU V TL DO 0,15M</t>
  </si>
  <si>
    <t>18241</t>
  </si>
  <si>
    <t>ZALOŽENÍ TRÁVNÍKU RUČNÍM VÝSEVEM</t>
  </si>
  <si>
    <t>18247</t>
  </si>
  <si>
    <t>OŠETŘOVÁNÍ TRÁVNÍKU</t>
  </si>
  <si>
    <t>915211</t>
  </si>
  <si>
    <t>VODOROVNÉ DOPRAVNÍ ZNAČENÍ PLASTEM HLADKÉ - DODÁVKA A POKLÁDKA</t>
  </si>
  <si>
    <t>91551</t>
  </si>
  <si>
    <t>VODOROVNÉ DOPRAVNÍ ZNAČENÍ - PŘEDEM PŘIPRAVENÉ SYMBOLY</t>
  </si>
  <si>
    <t>SO153UN -  Úprava zpevněných ploch u opěry 7</t>
  </si>
  <si>
    <t>SO201NN - Lávka přes Labe v Nymburku</t>
  </si>
  <si>
    <t>02940</t>
  </si>
  <si>
    <t>OSTATNÍ POŽADAVKY - VYPRACOVÁNÍ DOKUMENTACE</t>
  </si>
  <si>
    <t>RDS (počet paré - 2x tisk + 1x elektronicky), VTD, DSPS, mostní list, AD_x000D_
neuznatelná položka</t>
  </si>
  <si>
    <t>02991</t>
  </si>
  <si>
    <t>OSTATNÍ POŽADAVKY - INFORMAČNÍ TABULE</t>
  </si>
  <si>
    <t>93650</t>
  </si>
  <si>
    <t>DROBNÉ DOPLŇK KONSTR KOVOVÉ</t>
  </si>
  <si>
    <t>pamětní deska 300x400 mm, trvanlivý materiál např. slitina</t>
  </si>
  <si>
    <t>SO201UN - Lávka přes Labe v Nymburku</t>
  </si>
  <si>
    <t>POPLATKY ZA LIKVIDACŮ ODPADŮ NEKONTAMINOVANÝCH - 17 05 04  VYTĚŽENÉ ZEMINY A HORNINY -  I. TŘÍDA TĚŽITELNOSTI</t>
  </si>
  <si>
    <t>POPLATKY ZA LIKVIDACŮ ODPADŮ NEKONTAMINOVANÝCH - 17 01 01  BETON Z DEMOLIC OBJEKTŮ, ZÁKLADŮ TV</t>
  </si>
  <si>
    <t>02520</t>
  </si>
  <si>
    <t>ZKOUŠENÍ MATERIÁLŮ NEZÁVISLOU ZKUŠEBNOU</t>
  </si>
  <si>
    <t>dle TKP, ZTKP</t>
  </si>
  <si>
    <t>02620</t>
  </si>
  <si>
    <t>ZKOUŠENÍ KONSTRUKCÍ A PRACÍ NEZÁVISLOU ZKUŠEBNOU</t>
  </si>
  <si>
    <t>diagnostika milánských stěn po odbourání</t>
  </si>
  <si>
    <t>02910</t>
  </si>
  <si>
    <t>OSTATNÍ POŽADAVKY - ZEMĚMĚŘIČSKÁ MĚŘENÍ</t>
  </si>
  <si>
    <t>zaměření terénu a ověření výšek</t>
  </si>
  <si>
    <t>02911</t>
  </si>
  <si>
    <t>OSTATNÍ POŽADAVKY - GEODETICKÉ ZAMĚŘENÍ</t>
  </si>
  <si>
    <t>dle TKP, ZTKP, není-li obsaženo v jed. cenách -položka za celý most</t>
  </si>
  <si>
    <t>02912</t>
  </si>
  <si>
    <t>OSTATNÍ POŽADAVKY - VYTYČOVACÍ BOD MIKROSÍTĚ</t>
  </si>
  <si>
    <t>02953</t>
  </si>
  <si>
    <t>OSTATNÍ POŽADAVKY - HLAVNÍ MOSTNÍ PROHLÍDKA</t>
  </si>
  <si>
    <t>02960</t>
  </si>
  <si>
    <t>OSTATNÍ POŽADAVKY - ODBORNÝ DOZOR</t>
  </si>
  <si>
    <t>odborný dozor - přejímky materiálů, OK NK, drobných konstrukcí, vč. přejímek PKO_x000D_
odborný dozor - geotechnický (vrtání mikropilot) a geologický (výkopové práce)</t>
  </si>
  <si>
    <t>111208</t>
  </si>
  <si>
    <t>ODSTRANĚNÍ KŘOVIN S ODVOZEM DO 20KM</t>
  </si>
  <si>
    <t>112118</t>
  </si>
  <si>
    <t>KÁCENÍ STROMŮ D KMENE DO 0,5M, ODVOZ DO 20KM</t>
  </si>
  <si>
    <t>11513</t>
  </si>
  <si>
    <t>ČERPÁNÍ VODY DO 2000 L/MIN</t>
  </si>
  <si>
    <t>HOD</t>
  </si>
  <si>
    <t>127838</t>
  </si>
  <si>
    <t>VYKOPÁVKY POD VODOU TŘ II S ODVOZEM DO 20KM</t>
  </si>
  <si>
    <t>131838</t>
  </si>
  <si>
    <t>HLOUBENÍ JAM ZAPAŽ I NEPAŽ TŘ. II, ODVOZ DO 20KM</t>
  </si>
  <si>
    <t>17120</t>
  </si>
  <si>
    <t>ULOŽENÍ SYPANINY DO NÁSYPŮ A NA SKLÁDKY BEZ ZHUTNĚNÍ</t>
  </si>
  <si>
    <t>17481</t>
  </si>
  <si>
    <t>ZÁSYP JAM A RÝH Z NAKUPOVANÝCH MATERIÁLŮ</t>
  </si>
  <si>
    <t>227841</t>
  </si>
  <si>
    <t>MIKROPILOTY KOMPLET D DO 200MM NA POVRCHU</t>
  </si>
  <si>
    <t>26124</t>
  </si>
  <si>
    <t>a</t>
  </si>
  <si>
    <t>VRTY PRO KOTVENÍ, INJEKTÁŽ A MIKROPILOTY NA POVRCHU TŘ. II D DO 200MM</t>
  </si>
  <si>
    <t>b</t>
  </si>
  <si>
    <t>Hluché vrtání P3, P4</t>
  </si>
  <si>
    <t>26134</t>
  </si>
  <si>
    <t>VRTY PRO KOTVENÍ, INJEKTÁŽ A MIKROPILOTY NA POVRCHU TŘ. III D DO 200MM</t>
  </si>
  <si>
    <t>26165</t>
  </si>
  <si>
    <t>VRTY PRO KOTVENÍ, INJEKTÁŽ A MIKROPILOTY NA POVRCHU TŘ. VI D DO 300MM</t>
  </si>
  <si>
    <t>Vrtání skrz stávající základ pro podpěry P3 a P4</t>
  </si>
  <si>
    <t>272325</t>
  </si>
  <si>
    <t>ZÁKLADY ZE ŽELEZOBETONU DO C30/37</t>
  </si>
  <si>
    <t>Beton C30/37 - podpěry P2, P5, P6</t>
  </si>
  <si>
    <t>Beton C40/50 - podpěry P3, P4 (spodní část - základ)</t>
  </si>
  <si>
    <t>c</t>
  </si>
  <si>
    <t>Beton C60/75 - podpěry P3, P4 - vrchní část (patka)</t>
  </si>
  <si>
    <t>272365</t>
  </si>
  <si>
    <t>VÝZTUŽ ZÁKLADŮ Z OCELI 10505, B500B</t>
  </si>
  <si>
    <t>vč. PKO, ocel B 500 B_x000D_
Základ podpěr P2, P5, P6 - 248 kg/m3, základ podpěr P3, P4 - 243 kg/m3.</t>
  </si>
  <si>
    <t>285393</t>
  </si>
  <si>
    <t>DODATEČNÉ KOTVENÍ VLEPENÍM BETONÁŘSKÉ VÝZTUŽE D DO 20MM DO VRTŮ</t>
  </si>
  <si>
    <t>30 ks na jednu milánskou stěnu, 500 mm vlepení, 1000 mm celková výztuž</t>
  </si>
  <si>
    <t>289314</t>
  </si>
  <si>
    <t>STŘÍKANÝ BETON DO C25/30</t>
  </si>
  <si>
    <t>Dočasná konstrukce pro podpěry P3 a P4. Vyztužení vykázáno v položce č.451366.</t>
  </si>
  <si>
    <t>333326</t>
  </si>
  <si>
    <t>MOSTNÍ OPĚRY A KŘÍDLA ZE ŽELEZOVÉHO BETONU DO C40/50</t>
  </si>
  <si>
    <t>333365</t>
  </si>
  <si>
    <t>VÝZTUŽ MOSTNÍCH OPĚR A KŘÍDEL Z OCELI 10505, B500B</t>
  </si>
  <si>
    <t>ocel B 500 B_x000D_
Opěra 01 - 155 kg/m3_x000D_
Opěra 07 - 125 kg/m3</t>
  </si>
  <si>
    <t>334326</t>
  </si>
  <si>
    <t>MOSTNÍ PILÍŘE A STATIVA ZE ŽELEZOVÉHO BETONU DO C40/50</t>
  </si>
  <si>
    <t>Beton C40/50 - podpěry P2, P5, P6</t>
  </si>
  <si>
    <t>Beton C60/75 - podpěry P3, P4</t>
  </si>
  <si>
    <t>334365</t>
  </si>
  <si>
    <t>VÝZTUŽ MOSTNÍCH PILÍŘŮ A STATIV Z OCELI 10505, B500B</t>
  </si>
  <si>
    <t>ocel B 500 B_x000D_
Podpěra 02 - 264 kg/m3                                                      Podpěra 03 - 494 kg/m3                                                      Podpěra 04 - 507 kg/m3                                                      Podpěra 05 - 250 kg/m3                                                      Podpěra 06 - 262kg/m3</t>
  </si>
  <si>
    <t>spojky výztuží na podpěrách P3, P4 včetně řezání závitů</t>
  </si>
  <si>
    <t>334375</t>
  </si>
  <si>
    <t>VÝZTUŽ MOST PILÍŘŮ A STATIV Z PŘEDP TYČÍ</t>
  </si>
  <si>
    <t>Předpínací tyče - 36 mm</t>
  </si>
  <si>
    <t>348325</t>
  </si>
  <si>
    <t>ZÁBRADLÍ A ZÁBRADELNÍ ZÍDKY ZE ŽELEZOBETONU C30/37</t>
  </si>
  <si>
    <t>348365</t>
  </si>
  <si>
    <t>VÝZTUŽ ZÁBRADLÍ A ZÁBRADELNÍCH ZÍDEK Z OCELI 10505, B500B</t>
  </si>
  <si>
    <t>150 kg/m3</t>
  </si>
  <si>
    <t>348945</t>
  </si>
  <si>
    <t>ZÁBRADLÍ A ZÁBRADEL ZÍDKY Z NEREZ OCELI</t>
  </si>
  <si>
    <t>34894A</t>
  </si>
  <si>
    <t>ZÁBRADLÍ A ZÁBRADEL ZÍDKY Z OCELI S 235</t>
  </si>
  <si>
    <t>Zábradlí kolem patek oblouku P3, P4 - 40 kg/m.</t>
  </si>
  <si>
    <t>3 - Svislé konstrukce</t>
  </si>
  <si>
    <t>Svislé konstrukce</t>
  </si>
  <si>
    <t>421136</t>
  </si>
  <si>
    <t>MOSTNÍ NOSNÉ DESK KONST Z DÍLCŮ Z PŘEDPJ BET DO C40/50</t>
  </si>
  <si>
    <t>Segmenty z betonu C60/75 včetně vyztužení, spar a montážních prostředků.</t>
  </si>
  <si>
    <t>421365</t>
  </si>
  <si>
    <t>VÝZTUŽ MOSTNÍ DESKOVÉ KONSTRUKCE Z OCELI 10505, B500B</t>
  </si>
  <si>
    <t>KS</t>
  </si>
  <si>
    <t>smykové lišty 6x16 mm/KS</t>
  </si>
  <si>
    <t>421374</t>
  </si>
  <si>
    <t>VÝZTUŽ MOST NOSNÉ DESK KONSTR PŘEDP Z LAN PRO VNĚJŠÍ PŘEDPJ</t>
  </si>
  <si>
    <t>Monostrandy - 4x12 lan a 3x22 lan + 4 zabetonované kotvy navíc pro případné zesílení lávky.</t>
  </si>
  <si>
    <t>421376</t>
  </si>
  <si>
    <t>VÝZTUŽ MOST NOSNÉ DESK KONSTR PŘEDP Z TYČÍ PRO VNĚJŠÍ PŘEDPJ</t>
  </si>
  <si>
    <t>Předpínací tyče - 40 mm</t>
  </si>
  <si>
    <t>Závěsy včetně spojovacích prvků</t>
  </si>
  <si>
    <t>42194B</t>
  </si>
  <si>
    <t>MOSTNÍ NOSNÉ DESKOVÉ KONSTR Z OCELI S 355</t>
  </si>
  <si>
    <t>Včetně montážních ztužení a dočasných podepření (kloubů).</t>
  </si>
  <si>
    <t>42838</t>
  </si>
  <si>
    <t>KLOUB ZE ŽELEZOBETONU VČET VÝZTUŽE</t>
  </si>
  <si>
    <t>42861</t>
  </si>
  <si>
    <t>MOSTNÍ LOŽISKA ELASTOMEROVÁ PRO ZATÍŽ DO 1,0MN</t>
  </si>
  <si>
    <t>Příčně pevné, kluzná vrstva - podélný posun +-350 mm</t>
  </si>
  <si>
    <t>451313</t>
  </si>
  <si>
    <t>PODKLADNÍ A VÝPLŇOVÉ VRSTVY Z PROSTÉHO BETONU C16/20</t>
  </si>
  <si>
    <t>Podkladní beton základů podpěr a opěr.</t>
  </si>
  <si>
    <t>Podkladní beton pro zpevnění C20/25</t>
  </si>
  <si>
    <t>451324</t>
  </si>
  <si>
    <t>PODKL A VÝPLŇ VRSTVY ZE ŽELEZOBET DO C25/30</t>
  </si>
  <si>
    <t>Šablony pro přesné vrtání mikropilot na podpěrách P3 a P4.</t>
  </si>
  <si>
    <t>451366</t>
  </si>
  <si>
    <t>VÝZTUŽ PODKL VRSTEV Z KARI-SÍTÍ</t>
  </si>
  <si>
    <t>Šablony pro vrtání, výztuž stříkaného betonu (2 vrstvy fi8/150/150mm).</t>
  </si>
  <si>
    <t>451523</t>
  </si>
  <si>
    <t>VÝPLŇ VRSTVY Z KAMENIVA DRCENÉHO, INDEX ZHUTNĚNÍ ID DO 0,9</t>
  </si>
  <si>
    <t>46451</t>
  </si>
  <si>
    <t>POHOZ DNA A SVAHŮ Z LOMOVÉHO KAMENE</t>
  </si>
  <si>
    <t>Zpevnění pilotážní plošiny v řece (tl. 250mm).</t>
  </si>
  <si>
    <t>465512</t>
  </si>
  <si>
    <t>DLAŽBY Z LOMOVÉHO KAMENE NA MC</t>
  </si>
  <si>
    <t>46591</t>
  </si>
  <si>
    <t>DLAŽBY Z KAMENICKÝCH VÝROBKŮ</t>
  </si>
  <si>
    <t>62631</t>
  </si>
  <si>
    <t>SPOJOVACÍ MŮSTEK MEZI STARÝM A NOVÝM BETONEM</t>
  </si>
  <si>
    <t>62652</t>
  </si>
  <si>
    <t>OCHRANA VÝZTUŽE PŘI NEDOSTATEČNÉM KRYTÍ</t>
  </si>
  <si>
    <t>6 - Úpravy povrchů, podlahy, výplně otvorů</t>
  </si>
  <si>
    <t>Úpravy povrchů, podlahy, výplně otvorů</t>
  </si>
  <si>
    <t>711112</t>
  </si>
  <si>
    <t>IZOLACE BĚŽNÝCH KONSTRUKCÍ PROTI ZEMNÍ VLHKOSTI ASFALTOVÝMI PÁSY</t>
  </si>
  <si>
    <t>711415</t>
  </si>
  <si>
    <t>IZOLACE MOSTOVEK CELOPLOŠ POLYMERNÍ</t>
  </si>
  <si>
    <t>711509</t>
  </si>
  <si>
    <t>OCHRANA IZOLACE NA POVRCHU TEXTILIÍ</t>
  </si>
  <si>
    <t>7838H</t>
  </si>
  <si>
    <t>NÁTĚRY BETON KONSTR ANTIGRAFITI</t>
  </si>
  <si>
    <t>7 - Přidružená stavební výroba</t>
  </si>
  <si>
    <t>Přidružená stavební výroba</t>
  </si>
  <si>
    <t>87633</t>
  </si>
  <si>
    <t>CHRÁNIČKY Z TRUB PLASTOVÝCH DN DO 150MM</t>
  </si>
  <si>
    <t>Chráničky IS včetně propojek</t>
  </si>
  <si>
    <t>91345</t>
  </si>
  <si>
    <t>NIVELAČNÍ ZNAČKY KOVOVÉ</t>
  </si>
  <si>
    <t>včetně osazení</t>
  </si>
  <si>
    <t>917211</t>
  </si>
  <si>
    <t>ZÁHONOVÉ OBRUBY Z BETONOVÝCH OBRUBNÍKŮ ŠÍŘ 50MM</t>
  </si>
  <si>
    <t>93311</t>
  </si>
  <si>
    <t>ZATĚŽOVACÍ ZKOUŠKA MOSTU STATICKÁ 1. POLE DO 300M2</t>
  </si>
  <si>
    <t>93315</t>
  </si>
  <si>
    <t>ZATĚŽOVACÍ ZKOUŠKA MOSTU STATICKÁ 2. A DALŠÍ POLE DO 300M2</t>
  </si>
  <si>
    <t>93321</t>
  </si>
  <si>
    <t>ZATĚŽ ZKOUŠKA MOSTU DYNAMIC 1.POLE DO 300M2</t>
  </si>
  <si>
    <t>93331</t>
  </si>
  <si>
    <t>ZATĚŽ ZKOUŠKA PILOT SYSTÉMOVÝCH STATICKÁ</t>
  </si>
  <si>
    <t>Mikropiloty.</t>
  </si>
  <si>
    <t>Ra</t>
  </si>
  <si>
    <t>pohled NK z tahokovu, povrchová úprava komaxit</t>
  </si>
  <si>
    <t>936501</t>
  </si>
  <si>
    <t>DROBNÉ DOPLŇK KONSTR KOVOVÉ NEREZ</t>
  </si>
  <si>
    <t>Plech dilatačních závěrů + kotvení.</t>
  </si>
  <si>
    <t>936502</t>
  </si>
  <si>
    <t>DROBNÉ DOPLŇK KONSTR KOVOVÉ POZINK</t>
  </si>
  <si>
    <t>KG</t>
  </si>
  <si>
    <t>Ráměčky pro uchycení podhledu; skříňky IS sítí.</t>
  </si>
  <si>
    <t>93653</t>
  </si>
  <si>
    <t>MOSTNÍ ODVODŇOVACÍ SOUPRAVA</t>
  </si>
  <si>
    <t>průpichem NK (130 ks) + odvodňovače 500x300 v opěře O1 (2 ks)</t>
  </si>
  <si>
    <t>Rb</t>
  </si>
  <si>
    <t>liniová vpusť L=11.2 m na opěře 07.</t>
  </si>
  <si>
    <t>966168</t>
  </si>
  <si>
    <t>BOURÁNÍ KONSTRUKCÍ ZE ŽELEZOBETONU S ODVOZEM DO 20KM</t>
  </si>
  <si>
    <t>966188</t>
  </si>
  <si>
    <t>DEMONTÁŽ KONSTRUKCÍ KOVOVÝCH S ODVOZEM DO 20KM</t>
  </si>
  <si>
    <t>SO341NN - Přeložka vodovodu</t>
  </si>
  <si>
    <t>R02943</t>
  </si>
  <si>
    <t>OSTATNÍ POŽADAVKY - VYPRACOVÁNÍ RDS</t>
  </si>
  <si>
    <t>neuznatelná položka</t>
  </si>
  <si>
    <t>1 = 1,000000 =&gt; A</t>
  </si>
  <si>
    <t>R02945</t>
  </si>
  <si>
    <t>OSTAT POŽADAVKY - GEOMETRICKÝ PLÁN</t>
  </si>
  <si>
    <t>KČ</t>
  </si>
  <si>
    <t>SO341UN - Přeložka vodovodu</t>
  </si>
  <si>
    <t>R02852</t>
  </si>
  <si>
    <t>PRŮZKUMNÉ PRÁCE DIAGNOSTIKY KONSTRUKCÍ V PODZEMÍ</t>
  </si>
  <si>
    <t>zjištění stáv.stavu potrubí</t>
  </si>
  <si>
    <t>R02911</t>
  </si>
  <si>
    <t>OSTATNÍ POŽADAVKY - GEODETICKÉ ZAMĚŘENÍ A VYTÝČENÍ</t>
  </si>
  <si>
    <t>ověření směrové a výškové polohy vodovodu</t>
  </si>
  <si>
    <t>R02960</t>
  </si>
  <si>
    <t>R01502</t>
  </si>
  <si>
    <t>Poplatek za uložení výkopové zeminy na skládku</t>
  </si>
  <si>
    <t>přebytek výkopku- vytlačená kubatura, recyklační středisko Šumbor - Netřebice</t>
  </si>
  <si>
    <t>19,96*2,1 = 41,916000 =&gt; A</t>
  </si>
  <si>
    <t>R01503</t>
  </si>
  <si>
    <t>Poplatek za uložení vybouraného PP na skládku</t>
  </si>
  <si>
    <t>odstranění PE potrubí d.110, případně předání provozovateli vodovodu</t>
  </si>
  <si>
    <t>35,8*0,00318 = 0,113844 =&gt; A</t>
  </si>
  <si>
    <t>015 - Poplatky za likvidaci odpadů</t>
  </si>
  <si>
    <t>Poplatky za likvidaci odpadů</t>
  </si>
  <si>
    <t>13273A</t>
  </si>
  <si>
    <t>HLOUBENÍ RÝH ŠÍŘ DO 2M PAŽ I NEPAŽ TŘ. I - BEZ DOPRAVY</t>
  </si>
  <si>
    <t>rýha šíře 1,10 m, výkop pro přeložku (47,63m3), výkop  rušené potrubí (42,14 m3), výkopek pro zpětný zásyp( 69,81 m3) uložen podéll rýhy</t>
  </si>
  <si>
    <t>47,63+42,14 = 89,770000 =&gt; A</t>
  </si>
  <si>
    <t>13273B</t>
  </si>
  <si>
    <t>HLOUBENÍ RÝH ŠÍŘ DO 2M PAŽ I NEPAŽ TŘ. I - DOPRAVA</t>
  </si>
  <si>
    <t>M3KM</t>
  </si>
  <si>
    <t>přebytek výkopku, recyklační středisko Šumbor - Netřebice,  skládka 10 km</t>
  </si>
  <si>
    <t>19,96*10 = 199,600000 =&gt; A</t>
  </si>
  <si>
    <t>uložení přebytku výkopku na skládku</t>
  </si>
  <si>
    <t>47,63-27,67 = 19,960000 =&gt; A</t>
  </si>
  <si>
    <t>17411</t>
  </si>
  <si>
    <t>ZÁSYP JAM A RÝH ZEMINOU SE ZHUTNĚNÍM</t>
  </si>
  <si>
    <t>zásyp rýh- přeložka 27,67 m3, rušené potrubí 42,14 m3</t>
  </si>
  <si>
    <t>27,67+42,14 = 69,810000 =&gt; A</t>
  </si>
  <si>
    <t>17581</t>
  </si>
  <si>
    <t>OBSYP POTRUBÍ A OBJEKTŮ Z NAKUPOVANÝCH MATERIÁLŮ</t>
  </si>
  <si>
    <t>obsyp potrubí štěrkopískem 0-10 mm do výšky 0,30 m nad vrchol potrubí</t>
  </si>
  <si>
    <t>15,41 = 15,410000 =&gt; A</t>
  </si>
  <si>
    <t>45152</t>
  </si>
  <si>
    <t>PODKLADNÍ A VÝPLŇOVÉ VRSTVY Z KAMENIVA DRCENÉHO</t>
  </si>
  <si>
    <t>pískový podsyp (0-8 mm) potrubí, tl. 110 mm</t>
  </si>
  <si>
    <t>4,22 = 4,220000 =&gt; A</t>
  </si>
  <si>
    <t>87327</t>
  </si>
  <si>
    <t>POTRUBÍ Z TRUB PLASTOVÝCH TLAKOVÝCH SVAŘOVANÝCH DN DO 100MM</t>
  </si>
  <si>
    <t>PE 100 SDR 11 d.110 (110x10 mm) - přeložka 34,90 m</t>
  </si>
  <si>
    <t>34,90 = 34,900000 =&gt; A</t>
  </si>
  <si>
    <t>899305</t>
  </si>
  <si>
    <t>DOPLŇKY NA POTRUBÍ - ORIENTAČ SLOUPKY</t>
  </si>
  <si>
    <t>orientační sloupek - ocel.trubka DN 40, dl.3,5 m žárově zinkovaná, vč.uzavření vrchu trubky, vč.bílo-modrého nátěru a kloboučku a orientační tabulky</t>
  </si>
  <si>
    <t>4 = 4,000000 =&gt; A</t>
  </si>
  <si>
    <t>899308</t>
  </si>
  <si>
    <t>DOPLŇKY NA POTRUBÍ - SIGNALIZAČ VODIČ</t>
  </si>
  <si>
    <t>přeložka  +5%</t>
  </si>
  <si>
    <t>34,90*1,05 = 36,645000 =&gt; A</t>
  </si>
  <si>
    <t>899309</t>
  </si>
  <si>
    <t>DOPLŇKY NA POTRUBÍ - VÝSTRAŽNÁ FÓLIE</t>
  </si>
  <si>
    <t>bílá barva v souladu s ČSN 73 6006  - pozor vodovod</t>
  </si>
  <si>
    <t>v místě napojení přeložky</t>
  </si>
  <si>
    <t>2 = 2,000000 =&gt; A</t>
  </si>
  <si>
    <t>899622</t>
  </si>
  <si>
    <t>ZKOUŠKA VODOTĚSNOSTI POTRUBÍ DN DO 100MM</t>
  </si>
  <si>
    <t>PE 100 SDR 11 d.110 - přeložka</t>
  </si>
  <si>
    <t>34,9 = 34,900000 =&gt; A</t>
  </si>
  <si>
    <t>89972</t>
  </si>
  <si>
    <t>PROPLACH A DEZINFEKCE VODOVODNÍHO POTRUBÍ DN DO 100MM</t>
  </si>
  <si>
    <t>96912</t>
  </si>
  <si>
    <t>VYBOURÁNÍ POTRUBÍ DN DO 100MM VODOVODNÍCH</t>
  </si>
  <si>
    <t>stávající PE DN 100 d.110 (35,80 m), vč.tvarovek a armatur, vč.odvozu na skládku nebo předání provozovateli vodovodu</t>
  </si>
  <si>
    <t>35,8 = 35,800000 =&gt; A</t>
  </si>
  <si>
    <t>SO431NN - Přeložka VO</t>
  </si>
  <si>
    <t>431</t>
  </si>
  <si>
    <t xml:space="preserve">Přeložka VO - </t>
  </si>
  <si>
    <t>431 NN - Přeložka VO</t>
  </si>
  <si>
    <t>431 NN</t>
  </si>
  <si>
    <t>Přeložka VO</t>
  </si>
  <si>
    <t>SO432NN - Osvětlení lávky a oblouku</t>
  </si>
  <si>
    <t>432</t>
  </si>
  <si>
    <t>Osvětlení lávky a oblouku</t>
  </si>
  <si>
    <t>432 NN - Osvětlení lávky a oblouku</t>
  </si>
  <si>
    <t>432 NN</t>
  </si>
  <si>
    <t>801.1.1.NN - Hrubé terénní úpravy a doplnění ornice</t>
  </si>
  <si>
    <t>801.1.1</t>
  </si>
  <si>
    <t>Hrubé terénní úpravy a doplnění ornice</t>
  </si>
  <si>
    <t>801.1.1.NN</t>
  </si>
  <si>
    <t>801.1.2NN - Příprava ploch pro založení vegetace</t>
  </si>
  <si>
    <t>801.1.2</t>
  </si>
  <si>
    <t>Příprava ploch pro založení vegetace</t>
  </si>
  <si>
    <t>801.1.2NN</t>
  </si>
  <si>
    <t>801.2.1.NN - Založení vegetace</t>
  </si>
  <si>
    <t>801.2.1</t>
  </si>
  <si>
    <t>Založení vegetace</t>
  </si>
  <si>
    <t>801.2.1.NN</t>
  </si>
  <si>
    <t>801.2.2.NN - Rozvojová péče na vegetaci</t>
  </si>
  <si>
    <t>801.2.2</t>
  </si>
  <si>
    <t>Rozvojová péče na vegetaci</t>
  </si>
  <si>
    <t>801.2.2.NN</t>
  </si>
  <si>
    <t>SOUHRNNÝ LIST STAVBY</t>
  </si>
  <si>
    <t xml:space="preserve">Objednatel: </t>
  </si>
  <si>
    <t xml:space="preserve">Cena (bez DPH): </t>
  </si>
  <si>
    <t xml:space="preserve">Cena (s DPH): </t>
  </si>
  <si>
    <t>SKUPINY STAVEBNÍCH DÍLŮ</t>
  </si>
  <si>
    <t>Objekt</t>
  </si>
  <si>
    <t>Popis</t>
  </si>
  <si>
    <t>SO010UN</t>
  </si>
  <si>
    <t>Příprava staveniště</t>
  </si>
  <si>
    <t>SO151NN</t>
  </si>
  <si>
    <t>Úprava zpevněných ploch u opěry 1</t>
  </si>
  <si>
    <t>SO151UN</t>
  </si>
  <si>
    <t>SO152NN</t>
  </si>
  <si>
    <t>Úprava zpevněných ploch na levém břehu Labe</t>
  </si>
  <si>
    <t>SO152UN</t>
  </si>
  <si>
    <t>SO153NN</t>
  </si>
  <si>
    <t>Úprava zpevněných ploch u opěry 7</t>
  </si>
  <si>
    <t>SO153UN</t>
  </si>
  <si>
    <t xml:space="preserve"> Úprava zpevněných ploch u opěry 7</t>
  </si>
  <si>
    <t>SO201NN</t>
  </si>
  <si>
    <t>Lávka přes Labe v Nymburku</t>
  </si>
  <si>
    <t>SO201UN</t>
  </si>
  <si>
    <t>SO341NN</t>
  </si>
  <si>
    <t>Přeložka vodovodu</t>
  </si>
  <si>
    <t>SO341UN</t>
  </si>
  <si>
    <t>SO431NN</t>
  </si>
  <si>
    <t>SO432NN</t>
  </si>
  <si>
    <t>SO800NN</t>
  </si>
  <si>
    <t>Terénní a vegetační úpravy</t>
  </si>
  <si>
    <t>└ 801.1.1.NN ꜛ</t>
  </si>
  <si>
    <t>└ 801.1.2NN ꜛ</t>
  </si>
  <si>
    <t>└ 801.2.1.NN ꜛ</t>
  </si>
  <si>
    <t>└ 801.2.2.NN ꜛ</t>
  </si>
  <si>
    <t>O</t>
  </si>
  <si>
    <t>P</t>
  </si>
  <si>
    <t>Úroveň</t>
  </si>
  <si>
    <t>TC</t>
  </si>
  <si>
    <t>ČP</t>
  </si>
  <si>
    <t>TV</t>
  </si>
  <si>
    <t>Typ položky</t>
  </si>
  <si>
    <t>Kód položky</t>
  </si>
  <si>
    <t>Množství</t>
  </si>
  <si>
    <t>J. cena indexovaná</t>
  </si>
  <si>
    <t>Index ceny</t>
  </si>
  <si>
    <t>Celková cena</t>
  </si>
  <si>
    <t>Hmotnost celkem</t>
  </si>
  <si>
    <t>Suť celkem</t>
  </si>
  <si>
    <t>Nh celkem</t>
  </si>
  <si>
    <t>TD</t>
  </si>
  <si>
    <t>Výběrové řízení</t>
  </si>
  <si>
    <t>Dodavatel</t>
  </si>
  <si>
    <t>Výrobce</t>
  </si>
  <si>
    <t xml:space="preserve"> </t>
  </si>
  <si>
    <t>D</t>
  </si>
  <si>
    <t>Práce a dodávky M</t>
  </si>
  <si>
    <t xml:space="preserve">  &gt;2</t>
  </si>
  <si>
    <t>21-M</t>
  </si>
  <si>
    <t>Elektromontáže</t>
  </si>
  <si>
    <t xml:space="preserve">   &gt;3</t>
  </si>
  <si>
    <t>oc</t>
  </si>
  <si>
    <t>K</t>
  </si>
  <si>
    <t>210202013R</t>
  </si>
  <si>
    <t>Demontáž svítidlo výbojkové průmyslové nebo venkovní na výložník</t>
  </si>
  <si>
    <t>kus</t>
  </si>
  <si>
    <t>vlast.</t>
  </si>
  <si>
    <t>210204002r</t>
  </si>
  <si>
    <t>Demontáž stožárů osvětlení parkových ocelových</t>
  </si>
  <si>
    <t>Montáž svítidlo výbojkové průmyslové nebo venkovní na výložník</t>
  </si>
  <si>
    <t>Montáž stožárů osvětlení parkových ocelových</t>
  </si>
  <si>
    <t>M-nosný materiál</t>
  </si>
  <si>
    <t>31674067</t>
  </si>
  <si>
    <t>stožár osvětlovací sadový Pz 133/89/60 v 6,0m</t>
  </si>
  <si>
    <t>elektrovýzbroj stožáru osvětlení</t>
  </si>
  <si>
    <t>210204201</t>
  </si>
  <si>
    <t>Montáž elektrovýzbroje stožárů osvětlení 1 okruh</t>
  </si>
  <si>
    <t>stožárové pouzdro</t>
  </si>
  <si>
    <t>210812035</t>
  </si>
  <si>
    <t>Montáž kabel Cu plný kulatý do 1 kV 4x16 mm2 uložený volně nebo v liště (CYKY)</t>
  </si>
  <si>
    <t>m</t>
  </si>
  <si>
    <t>pc</t>
  </si>
  <si>
    <t>34111080</t>
  </si>
  <si>
    <t>kabel silový s Cu jádrem 1 kV 4x16mm2</t>
  </si>
  <si>
    <t>220060423R</t>
  </si>
  <si>
    <t>Položení ochranné trubky do kabelového lože průměru 63 mm</t>
  </si>
  <si>
    <t>34571352</t>
  </si>
  <si>
    <t>trubka elektroinstalační ohebná dvouplášťová korugovaná D 52/63 mm, HDPE+LDPE</t>
  </si>
  <si>
    <t>PSV</t>
  </si>
  <si>
    <t>741128021R</t>
  </si>
  <si>
    <t>Příplatek k montáži kabelů za zatažení vodiče a kabelu do trubky</t>
  </si>
  <si>
    <t>210101233</t>
  </si>
  <si>
    <t>Propojení kabelů celoplastových spojkou do 1 kV venkovní smršťovací SVCZ 1 až 5 žíly do 4x10až16 mm2</t>
  </si>
  <si>
    <t>35436023</t>
  </si>
  <si>
    <t>spojka kabelová smršťovaná přímé do 1kV 91ah-22s 4x16-50mm</t>
  </si>
  <si>
    <t>210220022</t>
  </si>
  <si>
    <t>Montáž uzemňovacího vedení vodičů FeZn pomocí svorek v zemi drátem do 10 mm ve městské zástavbě</t>
  </si>
  <si>
    <t>35441073</t>
  </si>
  <si>
    <t>drát D 10mm FeZn</t>
  </si>
  <si>
    <t>kg</t>
  </si>
  <si>
    <t>35441885</t>
  </si>
  <si>
    <t>svorka spojovací pro lano D 8-10 mm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</si>
  <si>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</si>
  <si>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</si>
  <si>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</si>
  <si>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</si>
  <si>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</si>
  <si>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460150843</t>
  </si>
  <si>
    <t>Hloubení kabelových zapažených i nezapažených rýh ručně š 80 cm, hl 80 cm, v hornině tř 3</t>
  </si>
  <si>
    <t>460150863</t>
  </si>
  <si>
    <t>Hloubení kabelových zapažených i nezapažených rýh ručně š 80 cm, hl 100 cm, v hornině tř 3</t>
  </si>
  <si>
    <t>460421001R</t>
  </si>
  <si>
    <t>Lože kabelů z písku nebo štěrkopísku tl 8 cm nad/pod kabel, bez zakrytí, šířky lože 80 cm</t>
  </si>
  <si>
    <t>460490011</t>
  </si>
  <si>
    <t>Krytí kabelů výstražnou fólií šířky 20 cm</t>
  </si>
  <si>
    <t>69311308</t>
  </si>
  <si>
    <t>pás varovný plný š 220mm</t>
  </si>
  <si>
    <t>460560843</t>
  </si>
  <si>
    <t>Zásyp rýh ručně šířky 80 cm, hloubky 80 cm, z horniny třídy 3</t>
  </si>
  <si>
    <t>460560863</t>
  </si>
  <si>
    <t>Zásyp rýh ručně šířky 80 cm, hloubky 100 cm, z horniny třídy 3</t>
  </si>
  <si>
    <t>460620013</t>
  </si>
  <si>
    <t>Provizorní úprava terénu se zhutněním, v hornině tř 3</t>
  </si>
  <si>
    <t>m2</t>
  </si>
  <si>
    <t>460080112</t>
  </si>
  <si>
    <t>Bourání základu betonového se záhozem jámy sypaninou</t>
  </si>
  <si>
    <t>m3</t>
  </si>
  <si>
    <t>460600061</t>
  </si>
  <si>
    <t>Odvoz suti a vybouraných hmot do 1 km</t>
  </si>
  <si>
    <t>t</t>
  </si>
  <si>
    <t>460600071</t>
  </si>
  <si>
    <t>Příplatek k odvozu suti a vybouraných hmot za každý další 1 km</t>
  </si>
  <si>
    <t>460050703</t>
  </si>
  <si>
    <t>Hloubení nezapažených jam pro stožáry veřejného osvětlení ručně v hornině tř 3</t>
  </si>
  <si>
    <t>460080014R1</t>
  </si>
  <si>
    <t>Základové konstrukce z monolitického betonu C 25/30 bez bednění</t>
  </si>
  <si>
    <t xml:space="preserve"> 1</t>
  </si>
  <si>
    <t>VRN</t>
  </si>
  <si>
    <t>Vedlejší rozpočtové náklady</t>
  </si>
  <si>
    <t>58-M</t>
  </si>
  <si>
    <t>Revize vyhrazených technických zařízení</t>
  </si>
  <si>
    <t>580103004</t>
  </si>
  <si>
    <t>Kontrola stavu elektrického okruhu do 5 vývodů v prostoru nebezpečném</t>
  </si>
  <si>
    <t>okruh</t>
  </si>
  <si>
    <t>580104051</t>
  </si>
  <si>
    <t>Kontrola stavu kombinovaného el spotřebiče do 3 kW pevně připojeného v prostoru bezpečném</t>
  </si>
  <si>
    <t>580106004</t>
  </si>
  <si>
    <t>Měření 1fázového nebo 3fázového okruhu do 5 vývodů rozvaděče nebo rozvodnice</t>
  </si>
  <si>
    <t>měření</t>
  </si>
  <si>
    <t>580106009</t>
  </si>
  <si>
    <t>Měření impedance ochranné smyčky na rozvodném zařízení, spotřebičích nebo přístrojích</t>
  </si>
  <si>
    <t>580106010</t>
  </si>
  <si>
    <t>Měření zemního přechodového odporu uzemnění ochranného nebo pracovního</t>
  </si>
  <si>
    <t>580106019</t>
  </si>
  <si>
    <t>Zkouška zvýšeným napětím</t>
  </si>
  <si>
    <t>580107004</t>
  </si>
  <si>
    <t>Demontáž a zpětná montáž krytu rozvaděče nebo rozvodnice</t>
  </si>
  <si>
    <t>580107011</t>
  </si>
  <si>
    <t>Kontrola zkratových poměrů v rozvaděči a vypínací schopnosti přístrojů</t>
  </si>
  <si>
    <t>580107012</t>
  </si>
  <si>
    <t>Kontrola dimenze vedení na oteplení při zkratu</t>
  </si>
  <si>
    <t>HZS</t>
  </si>
  <si>
    <t>Hodinové zúčtovací sazby</t>
  </si>
  <si>
    <t>HZS4221</t>
  </si>
  <si>
    <t>Hodinová zúčtovací sazba geodet</t>
  </si>
  <si>
    <t>hod</t>
  </si>
  <si>
    <t>VRN4</t>
  </si>
  <si>
    <t>Inženýrská činnost</t>
  </si>
  <si>
    <t>fc</t>
  </si>
  <si>
    <t>041103000R</t>
  </si>
  <si>
    <t>Autorský dozor projektanta vč. dopravy</t>
  </si>
  <si>
    <t>041203000R</t>
  </si>
  <si>
    <t>Technický dozor investora vč, dopravy</t>
  </si>
  <si>
    <t>041403000</t>
  </si>
  <si>
    <t>Koordinátor BOZP na staveništi, vč. dopravy</t>
  </si>
  <si>
    <t>042503000</t>
  </si>
  <si>
    <t>Plán BOZP na staveništi</t>
  </si>
  <si>
    <t>kpl</t>
  </si>
  <si>
    <t>042603000</t>
  </si>
  <si>
    <t>Plán kvality, plán kontrol a zkoušek</t>
  </si>
  <si>
    <t>045203000</t>
  </si>
  <si>
    <t>Kompletační činnost</t>
  </si>
  <si>
    <t>VRN7</t>
  </si>
  <si>
    <t>Provozní vlivy</t>
  </si>
  <si>
    <t>071103000</t>
  </si>
  <si>
    <t>Provoz investora</t>
  </si>
  <si>
    <t>VRN8</t>
  </si>
  <si>
    <t>Přesun stavebních kapacit</t>
  </si>
  <si>
    <t>081103000</t>
  </si>
  <si>
    <t>Denní doprava pracovníků na pracoviště</t>
  </si>
  <si>
    <t>celkem</t>
  </si>
  <si>
    <t>Export Komplet</t>
  </si>
  <si>
    <t>2.0</t>
  </si>
  <si>
    <t>ZAMOK</t>
  </si>
  <si>
    <t>False</t>
  </si>
  <si>
    <t>{330f3fe3-cff0-4781-b95d-56e44cd5f81f}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</si>
  <si>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</si>
  <si>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</si>
  <si>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</si>
  <si>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</si>
  <si>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</si>
  <si>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</si>
  <si>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</si>
  <si>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</si>
  <si>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2019-020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</si>
  <si>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</si>
  <si>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</si>
  <si>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Lávka přes Labe v Nymburce - terénní a vegetační úpravy</t>
  </si>
  <si>
    <t>KSO:</t>
  </si>
  <si>
    <t>CC-CZ:</t>
  </si>
  <si>
    <t>Místo:</t>
  </si>
  <si>
    <t xml:space="preserve">Lávka </t>
  </si>
  <si>
    <t>Datum:</t>
  </si>
  <si>
    <t>21. 11. 2019</t>
  </si>
  <si>
    <t>Zadavatel:</t>
  </si>
  <si>
    <t>IČ:</t>
  </si>
  <si>
    <t>00239500</t>
  </si>
  <si>
    <t>Město Nymburk</t>
  </si>
  <si>
    <t>DIČ:</t>
  </si>
  <si>
    <t>CZ00239500</t>
  </si>
  <si>
    <t>Uchazeč:</t>
  </si>
  <si>
    <t>Vyplň údaj</t>
  </si>
  <si>
    <t>Projektant:</t>
  </si>
  <si>
    <t>66820316</t>
  </si>
  <si>
    <t>Ing. Gabriela Mlatečková Čížková</t>
  </si>
  <si>
    <t>CZ66820316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</si>
  <si>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</si>
  <si>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</si>
  <si>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</si>
  <si>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</si>
  <si>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</si>
  <si>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</si>
  <si>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</si>
  <si>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</si>
  <si>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</si>
  <si>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</si>
  <si>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</si>
  <si>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</si>
  <si>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</si>
  <si>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</si>
  <si>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</si>
  <si>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</si>
  <si>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</si>
  <si>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</si>
  <si>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</si>
  <si>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</si>
  <si>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</si>
  <si>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</si>
  <si>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</si>
  <si>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</si>
  <si>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</si>
  <si>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</si>
  <si>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</si>
  <si>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</si>
  <si>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</si>
  <si>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</si>
  <si>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</si>
  <si>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</si>
  <si>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</si>
  <si>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</si>
  <si>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</si>
  <si>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</si>
  <si>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</si>
  <si>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</si>
  <si>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</si>
  <si>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</si>
  <si>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0</t>
  </si>
  <si>
    <t>###NOIMPORT###</t>
  </si>
  <si>
    <t>IMPORT</t>
  </si>
  <si>
    <t>{00000000-0000-0000-0000-000000000000}</t>
  </si>
  <si>
    <t>/</t>
  </si>
  <si>
    <t>SO 801.1.1</t>
  </si>
  <si>
    <t>ING</t>
  </si>
  <si>
    <t>1</t>
  </si>
  <si>
    <t>{9dd12c7b-5ba4-4e26-a187-f7f1f75687b9}</t>
  </si>
  <si>
    <t>2</t>
  </si>
  <si>
    <t>SO 801.1.2</t>
  </si>
  <si>
    <t>{4a20d5a0-e13a-4600-baea-56e67f2c0491}</t>
  </si>
  <si>
    <t>SO 801.2.1</t>
  </si>
  <si>
    <t>{7f60adab-5fde-46f3-8d6e-a2ca52ea3bbb}</t>
  </si>
  <si>
    <t>SO 801.2.2</t>
  </si>
  <si>
    <t>{c87480d5-5378-4e4d-8362-9921aeb0d945}</t>
  </si>
  <si>
    <t>KRYCÍ LIST SOUPISU PRACÍ</t>
  </si>
  <si>
    <t>Objekt:</t>
  </si>
  <si>
    <t>SO 801.1.1 - Hrubé terénní úpravy a doplnění ornice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</si>
  <si>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</si>
  <si>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</si>
  <si>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</si>
  <si>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</si>
  <si>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</si>
  <si>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</si>
  <si>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 - doplnění vegetační nosné vrstvy</t>
  </si>
  <si>
    <t>VRN - Vedlejší rozpočtové náklady</t>
  </si>
  <si>
    <t xml:space="preserve">    VRN9 - Ostatní náklady</t>
  </si>
  <si>
    <t>PČ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</si>
  <si>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</si>
  <si>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</si>
  <si>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</si>
  <si>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</si>
  <si>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</si>
  <si>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</si>
  <si>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</si>
  <si>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</si>
  <si>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</si>
  <si>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</si>
  <si>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</si>
  <si>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</si>
  <si>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 - doplnění vegetační nosné vrstvy</t>
  </si>
  <si>
    <t>5</t>
  </si>
  <si>
    <t>181301107</t>
  </si>
  <si>
    <t>Rozprostření ornice tl vrstvy do 500 mm pl do 500 m2 v rovině nebo ve svahu do 1:5 - dle TZ a Výkresu V03 terénní úpravy</t>
  </si>
  <si>
    <t>CS ÚRS 2019 02</t>
  </si>
  <si>
    <t>4</t>
  </si>
  <si>
    <t>485442377</t>
  </si>
  <si>
    <t>PP</t>
  </si>
  <si>
    <t>Rozprostření a urovnání ornice v rovině nebo ve svahu sklonu do 1:5 při souvislé ploše do 500 m2, tl. vrstvy přes 400 do 500 mm</t>
  </si>
  <si>
    <t>10364101</t>
  </si>
  <si>
    <t>zemina pro terénní úpravy ploch se stromy - kvalitní ornice včetně dopravy a manipulace</t>
  </si>
  <si>
    <t>8</t>
  </si>
  <si>
    <t>-350404014</t>
  </si>
  <si>
    <t>zemina pro terénní úpravy -  ornice</t>
  </si>
  <si>
    <t>VV</t>
  </si>
  <si>
    <t>(469*0,4)*1,1  "10% na slehnutí"</t>
  </si>
  <si>
    <t>206,36*1,5 'Přepočtené koeficientem množství</t>
  </si>
  <si>
    <t>VRN9</t>
  </si>
  <si>
    <t>Ostatní náklady</t>
  </si>
  <si>
    <t>090001000</t>
  </si>
  <si>
    <t>soub</t>
  </si>
  <si>
    <t>1024</t>
  </si>
  <si>
    <t>-253436329</t>
  </si>
  <si>
    <t>SO 801.1.2 - Příprava ploch pro založení vegetace</t>
  </si>
  <si>
    <t>HSV - Práce a dodávky HSV - příprava ploch pro založení vegetace</t>
  </si>
  <si>
    <t xml:space="preserve">    1 - Zemní práce - záhony vylepšené kompostem</t>
  </si>
  <si>
    <t xml:space="preserve">    2 - Jemná modelace ploch trávníků</t>
  </si>
  <si>
    <t xml:space="preserve">    3 - Instalace záhonové obruby</t>
  </si>
  <si>
    <t>Práce a dodávky HSV - příprava ploch pro založení vegetace</t>
  </si>
  <si>
    <t>Zemní práce - záhony vylepšené kompostem</t>
  </si>
  <si>
    <t>181301103</t>
  </si>
  <si>
    <t>Rozprostření substrátu  vyzrálého kompostu  tl vrstvy 50 mm pl do 500 m2 v rovině nebo ve svahu do 1:5</t>
  </si>
  <si>
    <t>1302719856</t>
  </si>
  <si>
    <t>Rozprostření a urovnání ornice v rovině nebo ve svahu sklonu do 1:5 při souvislé ploše do 500 m2, tl. vrstvy přes 150 do 200 mm</t>
  </si>
  <si>
    <t>10+62+175+32+17</t>
  </si>
  <si>
    <t>kom</t>
  </si>
  <si>
    <t>vyzrálý kompost včetně dopravy a manipulace</t>
  </si>
  <si>
    <t>-649387563</t>
  </si>
  <si>
    <t>vyzrálý kompost</t>
  </si>
  <si>
    <t>(62+10+175+32+17)*0,05</t>
  </si>
  <si>
    <t>183403113</t>
  </si>
  <si>
    <t>Obdělání půdy frézováním v rovině a svahu do 1:5 - promíchání kompostu s ornicí do hloubky 15 cm</t>
  </si>
  <si>
    <t>-867303990</t>
  </si>
  <si>
    <t>Obdělání půdy  frézováním v rovině nebo na svahu do 1:5</t>
  </si>
  <si>
    <t>7</t>
  </si>
  <si>
    <t>183403153</t>
  </si>
  <si>
    <t>Obdělání půdy hrabáním v rovině a svahu do 1:5</t>
  </si>
  <si>
    <t>521970044</t>
  </si>
  <si>
    <t>Obdělání půdy  hrabáním v rovině nebo na svahu do 1:5</t>
  </si>
  <si>
    <t>14</t>
  </si>
  <si>
    <t>184802111</t>
  </si>
  <si>
    <t>Chemické odplevelení před založením kultury nad 20 m2 postřikem na široko v rovině a svahu do 1:5</t>
  </si>
  <si>
    <t>1760837060</t>
  </si>
  <si>
    <t>Chemické odplevelení půdy před založením kultury, trávníku nebo zpevněných ploch  o výměře jednotlivě přes 20 m2 v rovině nebo na svahu do 1:5 postřikem na široko</t>
  </si>
  <si>
    <t>366393231</t>
  </si>
  <si>
    <t>9</t>
  </si>
  <si>
    <t>184911421</t>
  </si>
  <si>
    <t>Mulčování rostlin kůrou tl. do 0,1 m v rovině a svahu do 1:5</t>
  </si>
  <si>
    <t>1029394139</t>
  </si>
  <si>
    <t>Mulčování vysazených rostlin mulčovací kůrou, tl. do 100 mm v rovině nebo na svahu do 1:5</t>
  </si>
  <si>
    <t>10</t>
  </si>
  <si>
    <t>10391100</t>
  </si>
  <si>
    <t>kůra mulčovací VL včetně dopravy</t>
  </si>
  <si>
    <t>-241915479</t>
  </si>
  <si>
    <t>kůra mulčovací VL</t>
  </si>
  <si>
    <t>296*0,103 'Přepočtené koeficientem množství</t>
  </si>
  <si>
    <t>Jemná modelace ploch trávníků</t>
  </si>
  <si>
    <t>12</t>
  </si>
  <si>
    <t>183403113a</t>
  </si>
  <si>
    <t>Obdělání půdy frézováním v rovině a svahu do 1:5 - jemná modelace terénu</t>
  </si>
  <si>
    <t>365531962</t>
  </si>
  <si>
    <t>17+4+6+4+27</t>
  </si>
  <si>
    <t>13</t>
  </si>
  <si>
    <t>183403153a</t>
  </si>
  <si>
    <t>Obdělání půdy hrabáním v rovině a svahu do 1:5 s odstraněním kamenů nad 3 cm</t>
  </si>
  <si>
    <t>-1534851463</t>
  </si>
  <si>
    <t>6</t>
  </si>
  <si>
    <t>183403213</t>
  </si>
  <si>
    <t>Obdělání půdy frézováním ve svahu do 1:2</t>
  </si>
  <si>
    <t>-2131569361</t>
  </si>
  <si>
    <t>Obdělání půdy  frézováním na svahu přes 1:5 do 1:2</t>
  </si>
  <si>
    <t>25+25+65</t>
  </si>
  <si>
    <t>183403253</t>
  </si>
  <si>
    <t>Obdělání půdy hrabáním ve svahu do 1:2 s odstraněním kamenů nad 3 cm</t>
  </si>
  <si>
    <t>1509842450</t>
  </si>
  <si>
    <t>Obdělání půdy  hrabáním na svahu přes 1:5 do 1:2</t>
  </si>
  <si>
    <t>16</t>
  </si>
  <si>
    <t>-642792854</t>
  </si>
  <si>
    <t>17+4+6+4+27+25+25+65</t>
  </si>
  <si>
    <t>3</t>
  </si>
  <si>
    <t>Instalace záhonové obruby</t>
  </si>
  <si>
    <t>17</t>
  </si>
  <si>
    <t>Obr</t>
  </si>
  <si>
    <t>Instalace záhonové obruby z kamenné kostky do pískového lože</t>
  </si>
  <si>
    <t>bm</t>
  </si>
  <si>
    <t>-1489033162</t>
  </si>
  <si>
    <t>3+6</t>
  </si>
  <si>
    <t>18</t>
  </si>
  <si>
    <t>KK</t>
  </si>
  <si>
    <t>kamenná kostka -žula 10x10x10 cm</t>
  </si>
  <si>
    <t>ks</t>
  </si>
  <si>
    <t>-1066539634</t>
  </si>
  <si>
    <t>10*10</t>
  </si>
  <si>
    <t>19</t>
  </si>
  <si>
    <t>58156562</t>
  </si>
  <si>
    <t>písek podsypový spárovací frakce 0/1</t>
  </si>
  <si>
    <t>-753606651</t>
  </si>
  <si>
    <t>(3+6)*0,05*0,2</t>
  </si>
  <si>
    <t>0,09*1500 'Přepočtené koeficientem množství</t>
  </si>
  <si>
    <t>11</t>
  </si>
  <si>
    <t>775226321</t>
  </si>
  <si>
    <t>SO 801.2.1 - Založení vegetace</t>
  </si>
  <si>
    <t>HSV - HSV</t>
  </si>
  <si>
    <t xml:space="preserve">    1 - Výsadba stromů listnatých 14-16</t>
  </si>
  <si>
    <t xml:space="preserve">    2 - Založení keřů</t>
  </si>
  <si>
    <t xml:space="preserve">    3 - Výsadba trvalek a cibulovin</t>
  </si>
  <si>
    <t xml:space="preserve">    4 - Trávník luční - hydroosev</t>
  </si>
  <si>
    <t xml:space="preserve">    5 - Trávník parkový</t>
  </si>
  <si>
    <t xml:space="preserve">    VRN - Vedlejší rozpočtové náklady</t>
  </si>
  <si>
    <t xml:space="preserve">      998 - Přesun hmot</t>
  </si>
  <si>
    <t>Výsadba stromů listnatých 14-16</t>
  </si>
  <si>
    <t>183101115</t>
  </si>
  <si>
    <t>Hloubení jamek bez výměny půdy zeminy tř 1 až 4 objem do 0,4 m3 v rovině a svahu do 1:5</t>
  </si>
  <si>
    <t>CS ÚRS 2017 01</t>
  </si>
  <si>
    <t>-105734333</t>
  </si>
  <si>
    <t>Hloubení jamek pro vysazování rostlin v zemině tř.1 až 4 bez výměny půdy v rovině nebo na svahu do 1:5, objemu přes 0,125 do 0,40 m3</t>
  </si>
  <si>
    <t>184102115</t>
  </si>
  <si>
    <t>Výsadba dřeviny s balem D do 0,6 m do jamky se zalitím v rovině a svahu do 1:5</t>
  </si>
  <si>
    <t>-2021516351</t>
  </si>
  <si>
    <t>Výsadba dřeviny s balem do předem vyhloubené jamky se zalitím v rovině nebo na svahu do 1:5, při průměru balu přes 500 do 600 mm</t>
  </si>
  <si>
    <t>184215133</t>
  </si>
  <si>
    <t>Ukotvení kmene dřevin třemi kůly D do 0,1 m délky do 3 m se vzpěrou nahoře včetně úvazků</t>
  </si>
  <si>
    <t>-1588332116</t>
  </si>
  <si>
    <t>Ukotvení kmene dřevin třemi kůly D do 0,1 m délky do 3 m se vzpěrou nahoře a 2 dole včetně úvazků</t>
  </si>
  <si>
    <t>900_k2</t>
  </si>
  <si>
    <t>kůl loupaný 250 cm pr.7-8 cm</t>
  </si>
  <si>
    <t>1406060293</t>
  </si>
  <si>
    <t>kůl loupaný 200 cm pr.7-8 cm</t>
  </si>
  <si>
    <t>3*3</t>
  </si>
  <si>
    <t>900_k3</t>
  </si>
  <si>
    <t>kůl loupaný půlený 250cm pr.7-8 cm</t>
  </si>
  <si>
    <t>-1007907931</t>
  </si>
  <si>
    <t>kůl loupaný 250cm pr.7-8 cm - na vzpěry</t>
  </si>
  <si>
    <t>3*1</t>
  </si>
  <si>
    <t>184215412</t>
  </si>
  <si>
    <t>Zhotovení závlahové mísy dřevin průměru 1 m v rovině nebo na svahu do 1:5</t>
  </si>
  <si>
    <t>CS ÚRS 2019 01</t>
  </si>
  <si>
    <t>45264373</t>
  </si>
  <si>
    <t>Zhotovení závlahové mísy u solitérních dřevin  o průměru mísy  1 m</t>
  </si>
  <si>
    <t>184852311</t>
  </si>
  <si>
    <t>Řez stromu výchovný</t>
  </si>
  <si>
    <t>479501712</t>
  </si>
  <si>
    <t xml:space="preserve">Řez stromů prováděný lezeckou technikou výchovný </t>
  </si>
  <si>
    <t>185802114.1</t>
  </si>
  <si>
    <t>Hnojení půdy umělým hnojivem k jednotlivým rostlinám v rovině a svahu do 1:5 -12*10g na rostlinu</t>
  </si>
  <si>
    <t>CS ÚRS 2015 02</t>
  </si>
  <si>
    <t>818611423</t>
  </si>
  <si>
    <t>Hnojení půdy nebo trávníku v rovině nebo na svahu do 1:5 umělým hnojivem s rozdělením k jednotlivým rostlinám</t>
  </si>
  <si>
    <t>251Sil</t>
  </si>
  <si>
    <t>tabl. hnojivo Silvamix forte 10g tablety</t>
  </si>
  <si>
    <t>1653583201</t>
  </si>
  <si>
    <t>3*12</t>
  </si>
  <si>
    <t>185804312</t>
  </si>
  <si>
    <t xml:space="preserve">Zalití stromů vodou jednotlivě včetně vody a dopravy - 100 l na strom </t>
  </si>
  <si>
    <t>1386347268</t>
  </si>
  <si>
    <t>3*0,1</t>
  </si>
  <si>
    <t>-988712617</t>
  </si>
  <si>
    <t>1215883374</t>
  </si>
  <si>
    <t>och_n</t>
  </si>
  <si>
    <t>Zhotovení ochranného nátěru kmene profesionálním nátěrem proti korní spále ve dvou vrstvách</t>
  </si>
  <si>
    <t>-2098974772</t>
  </si>
  <si>
    <t>Zhotovení obalu kmene z rákosové nebo kokosové rohože v rovině nebo na svahu do 1:5</t>
  </si>
  <si>
    <t>026och_n</t>
  </si>
  <si>
    <t>profesionální ochranný nátěr Arboflex</t>
  </si>
  <si>
    <t>-914570686</t>
  </si>
  <si>
    <t>3*0,5</t>
  </si>
  <si>
    <t>TiPF</t>
  </si>
  <si>
    <t>strom 14-16 dle TZ - Tilia platyphyllos 'Fastigiata'</t>
  </si>
  <si>
    <t>2122758551</t>
  </si>
  <si>
    <t>Mal_1</t>
  </si>
  <si>
    <t>strom 14-16 dle TZ - Malus Panenské české ev. Panenské zlepšené</t>
  </si>
  <si>
    <t>461438330</t>
  </si>
  <si>
    <t>strom 14-16 dle TZ - Acer campestre Red Shine</t>
  </si>
  <si>
    <t>Mal_2</t>
  </si>
  <si>
    <t>strom  14-16 dle TZ - Malus Sudetská Reneta</t>
  </si>
  <si>
    <t>2122380111</t>
  </si>
  <si>
    <t>strom  14-16 dle TZ - Magnolia Spectrum</t>
  </si>
  <si>
    <t>Založení keřů</t>
  </si>
  <si>
    <t>59</t>
  </si>
  <si>
    <t>183101113</t>
  </si>
  <si>
    <t>Hloubení jamek bez výměny půdy zeminy tř 1 až 4 objem do 0,05 m3 v rovině a svahu do 1:5</t>
  </si>
  <si>
    <t>-2045514629</t>
  </si>
  <si>
    <t>Hloubení jamek pro vysazování rostlin v zemině tř.1 až 4 bez výměny půdy v rovině nebo na svahu do 1:5, objemu přes 0,02 do 0,05 m3</t>
  </si>
  <si>
    <t>60</t>
  </si>
  <si>
    <t>184102112</t>
  </si>
  <si>
    <t>Výsadba dřeviny s balem D do 0,3 m do jamky se zalitím v rovině a svahu do 1:5</t>
  </si>
  <si>
    <t>1654915249</t>
  </si>
  <si>
    <t>Výsadba dřeviny s balem do předem vyhloubené jamky se zalitím  v rovině nebo na svahu do 1:5, při průměru balu přes 200 do 300 mm</t>
  </si>
  <si>
    <t>61</t>
  </si>
  <si>
    <t>184851412</t>
  </si>
  <si>
    <t>Zpětný řez keřů po výsadbě výšky do 1 m</t>
  </si>
  <si>
    <t>332381644</t>
  </si>
  <si>
    <t>Zpětný řez keřů po výsadbě netrnitých, výšky přes 0,5 m do 1 m</t>
  </si>
  <si>
    <t>62</t>
  </si>
  <si>
    <t>185802114b</t>
  </si>
  <si>
    <t>Hnojení půdy umělým hnojivem k jednotlivým rostlinám v rovině a svahu do 1:5 -5*10g na rostlinu</t>
  </si>
  <si>
    <t>-1645565806</t>
  </si>
  <si>
    <t>63</t>
  </si>
  <si>
    <t>251Sil.3</t>
  </si>
  <si>
    <t>2059753278</t>
  </si>
  <si>
    <t>5*35</t>
  </si>
  <si>
    <t>64</t>
  </si>
  <si>
    <t>185804312.2</t>
  </si>
  <si>
    <t>Zalití rostlin vodou plocha přes 20 m2 - včetně dopravy</t>
  </si>
  <si>
    <t>1394554815</t>
  </si>
  <si>
    <t>Zalití rostlin vodou plochy záhonů jednotlivě přes 20 m2</t>
  </si>
  <si>
    <t>0,1*35</t>
  </si>
  <si>
    <t>76</t>
  </si>
  <si>
    <t>1739104232</t>
  </si>
  <si>
    <t>77</t>
  </si>
  <si>
    <t>683336834</t>
  </si>
  <si>
    <t>65</t>
  </si>
  <si>
    <t>185851121.1.1</t>
  </si>
  <si>
    <t>Dovoz vody pro zálivku rostlin za vzdálenost do 1000 m</t>
  </si>
  <si>
    <t>-939440401</t>
  </si>
  <si>
    <t>Dovoz vody pro zálivku rostlin na vzdálenost do 1000 m</t>
  </si>
  <si>
    <t>66</t>
  </si>
  <si>
    <t>900 k</t>
  </si>
  <si>
    <t>keře dle PD  - Tabulková část - specifikace materiáliu</t>
  </si>
  <si>
    <t>soub.</t>
  </si>
  <si>
    <t>1362492566</t>
  </si>
  <si>
    <t>keře dle PD C - specifikace materiáliu</t>
  </si>
  <si>
    <t>Výsadba trvalek a cibulovin</t>
  </si>
  <si>
    <t>53</t>
  </si>
  <si>
    <t>183211322.1</t>
  </si>
  <si>
    <t>Výsadba květin hrnkových D květináče do 120 mm</t>
  </si>
  <si>
    <t>-667435296</t>
  </si>
  <si>
    <t>Výsadba květin do připravené půdy se zalitím do připravené půdy, se zalitím květin hrnkovaných o průměru květináče přes 80 do 120 mm</t>
  </si>
  <si>
    <t>54</t>
  </si>
  <si>
    <t>900_tr</t>
  </si>
  <si>
    <t>trvalky dle PD  - specifikace materiálu vč. dopravy</t>
  </si>
  <si>
    <t>507029245</t>
  </si>
  <si>
    <t>55</t>
  </si>
  <si>
    <t>185802114d</t>
  </si>
  <si>
    <t>Hnojení půdy umělým hnojivem k jednotlivým rostlinám v rovině a svahu do 1:5  1*5g na rostlinu</t>
  </si>
  <si>
    <t>-2018577775</t>
  </si>
  <si>
    <t>56</t>
  </si>
  <si>
    <t>251Sil.2</t>
  </si>
  <si>
    <t>563340042</t>
  </si>
  <si>
    <t>1596*0,5</t>
  </si>
  <si>
    <t>57</t>
  </si>
  <si>
    <t>185804312.1</t>
  </si>
  <si>
    <t>Zalití rostlin vodou plocha přes 20 m2 včetně dopravy</t>
  </si>
  <si>
    <t>1263221166</t>
  </si>
  <si>
    <t>1596*0,001</t>
  </si>
  <si>
    <t>74</t>
  </si>
  <si>
    <t>575178046</t>
  </si>
  <si>
    <t>75</t>
  </si>
  <si>
    <t>-92324876</t>
  </si>
  <si>
    <t>58</t>
  </si>
  <si>
    <t>185851121.1</t>
  </si>
  <si>
    <t>1079758100</t>
  </si>
  <si>
    <t>23</t>
  </si>
  <si>
    <t>183211313</t>
  </si>
  <si>
    <t>Výsadba cibulí nebo hlíz</t>
  </si>
  <si>
    <t>383707871</t>
  </si>
  <si>
    <t>Výsadba květin do připravené půdy se zalitím do připravené půdy, se zalitím cibulí nebo hlíz</t>
  </si>
  <si>
    <t>24</t>
  </si>
  <si>
    <t>cib1</t>
  </si>
  <si>
    <t>Cibuloviny dle speifikace v TZ</t>
  </si>
  <si>
    <t>-578621204</t>
  </si>
  <si>
    <t>Cibuloviny dle speifikace</t>
  </si>
  <si>
    <t>Trávník luční - hydroosev</t>
  </si>
  <si>
    <t>43</t>
  </si>
  <si>
    <t>184802111.1</t>
  </si>
  <si>
    <t>Chemické odplevelení před založením kultury nad 20 m2 postřikem na široko v rovině a svahu do 1:5 včetně materiálu</t>
  </si>
  <si>
    <t>1761567953</t>
  </si>
  <si>
    <t>Chemické odplevelení půdy před založením kultury, trávníku nebo zpevněných ploch o výměře jednotlivě přes 20 m2 v rovině nebo na svahu do 1:5 postřikem na široko</t>
  </si>
  <si>
    <t>71</t>
  </si>
  <si>
    <t>183405211</t>
  </si>
  <si>
    <t xml:space="preserve">Výsev trávníku hydroosevem na ornici </t>
  </si>
  <si>
    <t>726336171</t>
  </si>
  <si>
    <t>Výsev trávníku hydroosevem  na ornici</t>
  </si>
  <si>
    <t>47</t>
  </si>
  <si>
    <t>005724100.1</t>
  </si>
  <si>
    <t>osivo směs luční dle specifikace v TZ PD</t>
  </si>
  <si>
    <t>1611200134</t>
  </si>
  <si>
    <t>115*0,02 'Přepočtené koeficientem množství</t>
  </si>
  <si>
    <t>73</t>
  </si>
  <si>
    <t>111151132</t>
  </si>
  <si>
    <t>Pokosení trávníku lučního plochy do 1000 m2 s odvozem do 20 km ve svahu do 1:2</t>
  </si>
  <si>
    <t>-179760708</t>
  </si>
  <si>
    <t>Pokosení trávníku při souvislé ploše do 1000 m2 lučního na svahu přes 1:5 do 1:2</t>
  </si>
  <si>
    <t>Trávník parkový</t>
  </si>
  <si>
    <t>36</t>
  </si>
  <si>
    <t>1571459602</t>
  </si>
  <si>
    <t>72</t>
  </si>
  <si>
    <t>181411131</t>
  </si>
  <si>
    <t>Založení parkového trávníku výsevem plochy do 1000 m2 v rovině a ve svahu do 1:5 včetně 1.seče</t>
  </si>
  <si>
    <t>-2106985969</t>
  </si>
  <si>
    <t>Založení trávníku na půdě předem připravené plochy do 1000 m2 výsevem včetně utažení parkového v rovině nebo na svahu do 1:5</t>
  </si>
  <si>
    <t>39</t>
  </si>
  <si>
    <t>005724100</t>
  </si>
  <si>
    <t>osivo směs travní parková - dle specifikace v TZ PD</t>
  </si>
  <si>
    <t>-80299082</t>
  </si>
  <si>
    <t>osivo směs travní krajinná - dle specifikace v TZ PD</t>
  </si>
  <si>
    <t>58*0,015 'Přepočtené koeficientem množství</t>
  </si>
  <si>
    <t>78</t>
  </si>
  <si>
    <t>111151121</t>
  </si>
  <si>
    <t>Pokosení trávníku parkového plochy do 1000 m2 s odvozem do 20 km v rovině a svahu do 1:5</t>
  </si>
  <si>
    <t>409264906</t>
  </si>
  <si>
    <t>Pokosení trávníku při souvislé ploše do 1000 m2 parkového v rovině nebo svahu do 1:5</t>
  </si>
  <si>
    <t>40</t>
  </si>
  <si>
    <t>012002000</t>
  </si>
  <si>
    <t>Geodetické práce - zaměření stáv. sítí, skutečného provedení stavby</t>
  </si>
  <si>
    <t>CS ÚRS 2018 01</t>
  </si>
  <si>
    <t>429828419</t>
  </si>
  <si>
    <t>Geodetické práce</t>
  </si>
  <si>
    <t>41</t>
  </si>
  <si>
    <t>045002000</t>
  </si>
  <si>
    <t>Kompletační a koordinační činnost</t>
  </si>
  <si>
    <t>-1434847394</t>
  </si>
  <si>
    <t>42</t>
  </si>
  <si>
    <t>Ostatní náklady zhotovitele</t>
  </si>
  <si>
    <t>-1866584607</t>
  </si>
  <si>
    <t>68</t>
  </si>
  <si>
    <t>041002000</t>
  </si>
  <si>
    <t>Dozory</t>
  </si>
  <si>
    <t>-1595076057</t>
  </si>
  <si>
    <t>998</t>
  </si>
  <si>
    <t>Přesun hmot</t>
  </si>
  <si>
    <t>67</t>
  </si>
  <si>
    <t>998231411</t>
  </si>
  <si>
    <t>Ruční přesun hmot pro sadovnické a krajinářské úpravy do100 m</t>
  </si>
  <si>
    <t>-1796529835</t>
  </si>
  <si>
    <t>Přesun hmot pro sadovnické a krajinářské úpravy - ručně bez užití mechanizace vodorovná dopravní vzdálenost do 100 m</t>
  </si>
  <si>
    <t>SO 801.2.2 - Rozvojová péče na vegetaci</t>
  </si>
  <si>
    <t>IO.05.01 - Rozvojová péče 1. rok po založení</t>
  </si>
  <si>
    <t xml:space="preserve">    RP_sl - rozvoj. péče - alej. strom listnatý </t>
  </si>
  <si>
    <t xml:space="preserve">    RP_ker - rozvojová péče keř</t>
  </si>
  <si>
    <t xml:space="preserve">    RP_pm - rozvoj.péče plochy zamulčované štěpkou </t>
  </si>
  <si>
    <t xml:space="preserve">    RP_tr - rozvojová péče trávníků</t>
  </si>
  <si>
    <t>IO.05.02 - Rozvojová péče 2.rok po založení</t>
  </si>
  <si>
    <t>IO.05.03 - Rozvojová péče 3. rok po založení</t>
  </si>
  <si>
    <t>IO.05.01</t>
  </si>
  <si>
    <t>Rozvojová péče 1. rok po založení</t>
  </si>
  <si>
    <t>RP_sl</t>
  </si>
  <si>
    <t xml:space="preserve">rozvoj. péče - alej. strom listnatý </t>
  </si>
  <si>
    <t>184911111a</t>
  </si>
  <si>
    <t>Znovuuvázání dřeviny ke kůlům -  u 50 % stromů</t>
  </si>
  <si>
    <t>-1342330522</t>
  </si>
  <si>
    <t>Znovuuvázání dřeviny jedním úvazkem ke stávajícímu kůlu</t>
  </si>
  <si>
    <t>3/2</t>
  </si>
  <si>
    <t>184911111b</t>
  </si>
  <si>
    <t xml:space="preserve">kontrola kotvení </t>
  </si>
  <si>
    <t>1202463726</t>
  </si>
  <si>
    <t>RP_ker</t>
  </si>
  <si>
    <t>rozvojová péče keř</t>
  </si>
  <si>
    <t>RP_keř</t>
  </si>
  <si>
    <t>kontrola  a případná úprava keře řezem</t>
  </si>
  <si>
    <t>-2102100593</t>
  </si>
  <si>
    <t>kontrola  a případná úprava keře řezem - 5% jedinců</t>
  </si>
  <si>
    <t>RP_pm</t>
  </si>
  <si>
    <t xml:space="preserve">rozvoj.péče plochy zamulčované štěpkou </t>
  </si>
  <si>
    <t>185804214-mu</t>
  </si>
  <si>
    <t>Vypletí záhonu dřevin a trvalek ve skupinách s naložením a odvozem odpadu do 20 km v rovině a svahu do 1:5-30%ploch včetně úklidu psích exkrementů a odpadků,  a odstranění vybraných odkvetlých částí  trvalek</t>
  </si>
  <si>
    <t>-1115476377</t>
  </si>
  <si>
    <t>Vypletí v rovině nebo na svahu do 1:5 dřevin ve skupinách</t>
  </si>
  <si>
    <t>296*0,3</t>
  </si>
  <si>
    <t>-673671008</t>
  </si>
  <si>
    <t>2094531872</t>
  </si>
  <si>
    <t>185804252</t>
  </si>
  <si>
    <t xml:space="preserve">Odstranění odkvetlých a odumřelých částí trvalek v okrajových částech porostu - s odklizením odpadu do 20 km nebo ponecháním v mulčovaných plochách sousedního porostu </t>
  </si>
  <si>
    <t>77532564</t>
  </si>
  <si>
    <t>Odstranění odkvetlých a odumřelých částí rostlin ze záhonů trvalek</t>
  </si>
  <si>
    <t>Zalití rostlin vodou plocha přes 20 m2 100l/1 m2 včetně dopravy vody</t>
  </si>
  <si>
    <t>159009960</t>
  </si>
  <si>
    <t>296*0,1</t>
  </si>
  <si>
    <t>104</t>
  </si>
  <si>
    <t>-15500030</t>
  </si>
  <si>
    <t>105</t>
  </si>
  <si>
    <t>-2131234474</t>
  </si>
  <si>
    <t>RP_tr</t>
  </si>
  <si>
    <t>rozvojová péče trávníků</t>
  </si>
  <si>
    <t>Pokosení trávníku parkového plochy do 1000 m2 s odvozem do 20 km v rovině a svahu do 1:5 a uložením včetně úklidu psích exkrementů a odpadků</t>
  </si>
  <si>
    <t>1164257093</t>
  </si>
  <si>
    <t>17+4+6+25+25+65+27+4</t>
  </si>
  <si>
    <t>-1411612409</t>
  </si>
  <si>
    <t>-757651428</t>
  </si>
  <si>
    <t>-479821796</t>
  </si>
  <si>
    <t>-269014958</t>
  </si>
  <si>
    <t>1345078587</t>
  </si>
  <si>
    <t>1560611706</t>
  </si>
  <si>
    <t>185811112</t>
  </si>
  <si>
    <t>Shrabání listí bez pokryvných rostlin vrstvy do 100 mm plochy do 1000 m2 v rovině a svahu do 1:5 - uložení materiálu do mulčované plochy ve vrstvě silné max 10 cm</t>
  </si>
  <si>
    <t>166945623</t>
  </si>
  <si>
    <t>Shrabání listí ručně nebo strojně souvislé plochy do 1000 m2 bez pokryvných rostlin v rovině nebo na svahu do 1:5, ve vrstvě přes 50 do 100 mm</t>
  </si>
  <si>
    <t>185811211j</t>
  </si>
  <si>
    <t>jarní vyhrabání trávníku souvislé plochy do 1000 m2 v rovině a svahu do 1:5 včetně úklidu psích exkrementů a odpadkůl</t>
  </si>
  <si>
    <t>-2012557626</t>
  </si>
  <si>
    <t>Vyhrabání trávníku souvislé plochy do 1000 m2 v rovině nebo na svahu do 1:5</t>
  </si>
  <si>
    <t>IO.05.02</t>
  </si>
  <si>
    <t>Rozvojová péče 2.rok po založení</t>
  </si>
  <si>
    <t>1042647834</t>
  </si>
  <si>
    <t>576560485</t>
  </si>
  <si>
    <t>-1813602803</t>
  </si>
  <si>
    <t>-1880759940</t>
  </si>
  <si>
    <t>229471452</t>
  </si>
  <si>
    <t>69</t>
  </si>
  <si>
    <t>1658606566</t>
  </si>
  <si>
    <t>70</t>
  </si>
  <si>
    <t>1323555649</t>
  </si>
  <si>
    <t>211917410</t>
  </si>
  <si>
    <t>102</t>
  </si>
  <si>
    <t>475119981</t>
  </si>
  <si>
    <t>103</t>
  </si>
  <si>
    <t>-72234929</t>
  </si>
  <si>
    <t>-1214515078</t>
  </si>
  <si>
    <t>-1397228424</t>
  </si>
  <si>
    <t>369035207</t>
  </si>
  <si>
    <t>-1701417265</t>
  </si>
  <si>
    <t>-732811520</t>
  </si>
  <si>
    <t>-1881385090</t>
  </si>
  <si>
    <t>1056335290</t>
  </si>
  <si>
    <t>79</t>
  </si>
  <si>
    <t>1942807732</t>
  </si>
  <si>
    <t>80</t>
  </si>
  <si>
    <t>1956831613</t>
  </si>
  <si>
    <t>IO.05.03</t>
  </si>
  <si>
    <t>Rozvojová péče 3. rok po založení</t>
  </si>
  <si>
    <t>99</t>
  </si>
  <si>
    <t>184215172a</t>
  </si>
  <si>
    <t>Odstranění ukotvení kmene dřevin třemi kůly D do 0,1 m délky do 2 m uříznutím nad povrchem terénu</t>
  </si>
  <si>
    <t>-146904146</t>
  </si>
  <si>
    <t>Odstranění ukotvení dřeviny kůly třemi kůly, délky přes 1 do 2 m</t>
  </si>
  <si>
    <t>98</t>
  </si>
  <si>
    <t>184852323</t>
  </si>
  <si>
    <t>Řez stromu výchovný alejových stromů výšky přes 6 do 9 m</t>
  </si>
  <si>
    <t>-1677503178</t>
  </si>
  <si>
    <t>Řez stromů prováděný lezeckou technikou výchovný (S-RV) alejové stromy, výšky přes 6 do 9 m</t>
  </si>
  <si>
    <t>83</t>
  </si>
  <si>
    <t>-1543629892</t>
  </si>
  <si>
    <t>84</t>
  </si>
  <si>
    <t>1215491762</t>
  </si>
  <si>
    <t>85</t>
  </si>
  <si>
    <t>1775171112</t>
  </si>
  <si>
    <t>86</t>
  </si>
  <si>
    <t>-84760886</t>
  </si>
  <si>
    <t>87</t>
  </si>
  <si>
    <t>-662136216</t>
  </si>
  <si>
    <t>88</t>
  </si>
  <si>
    <t>1133799581</t>
  </si>
  <si>
    <t>100</t>
  </si>
  <si>
    <t>647570761</t>
  </si>
  <si>
    <t>101</t>
  </si>
  <si>
    <t>-1317981999</t>
  </si>
  <si>
    <t>89</t>
  </si>
  <si>
    <t>-1468758579</t>
  </si>
  <si>
    <t>90</t>
  </si>
  <si>
    <t>751653344</t>
  </si>
  <si>
    <t>91</t>
  </si>
  <si>
    <t>776635951</t>
  </si>
  <si>
    <t>92</t>
  </si>
  <si>
    <t>256664679</t>
  </si>
  <si>
    <t>93</t>
  </si>
  <si>
    <t>-861181156</t>
  </si>
  <si>
    <t>94</t>
  </si>
  <si>
    <t>-905445939</t>
  </si>
  <si>
    <t>95</t>
  </si>
  <si>
    <t>859541049</t>
  </si>
  <si>
    <t>96</t>
  </si>
  <si>
    <t>-1243158469</t>
  </si>
  <si>
    <t>97</t>
  </si>
  <si>
    <t>1492416506</t>
  </si>
  <si>
    <t>-2124627256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</si>
</sst>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\K\č;[Red]\-#,##0.00\ \K\č"/>
    <numFmt numFmtId="165" formatCode="#,##0;#,##0;;"/>
    <numFmt numFmtId="166" formatCode="#,##0.000"/>
    <numFmt numFmtId="167" formatCode="#,##0.00%"/>
    <numFmt numFmtId="168" formatCode="dd\.mm\.yyyy"/>
    <numFmt numFmtId="169" formatCode="#,##0.00000"/>
  </numFmts>
  <fonts count="59">
    <font>
      <sz val="10"/>
      <color theme="1"/>
      <name val="Arial"/>
      <family val="2"/>
    </font>
    <font>
      <sz val="10"/>
      <color theme="1"/>
      <name val="Roboto"/>
      <family val="2"/>
    </font>
    <font>
      <b/>
      <sz val="10"/>
      <color theme="1"/>
      <name val="Roboto"/>
      <family val="2"/>
    </font>
    <font>
      <sz val="10"/>
      <color rgb="FF2B2E91"/>
      <name val="Roboto"/>
      <family val="2"/>
    </font>
    <font>
      <b/>
      <sz val="20"/>
      <color theme="1"/>
      <name val="Roboto"/>
      <family val="2"/>
    </font>
    <font>
      <b/>
      <sz val="16"/>
      <color rgb="FF2B2E91"/>
      <name val="Roboto"/>
      <family val="2"/>
    </font>
    <font>
      <sz val="8"/>
      <color theme="1"/>
      <name val="Roboto"/>
      <family val="2"/>
    </font>
    <font>
      <b/>
      <sz val="12"/>
      <color theme="1"/>
      <name val="Roboto"/>
      <family val="2"/>
    </font>
    <font>
      <i/>
      <sz val="10"/>
      <color theme="1"/>
      <name val="Roboto"/>
      <family val="2"/>
    </font>
    <font>
      <i/>
      <sz val="8"/>
      <color rgb="FF808080"/>
      <name val="Roboto"/>
      <family val="2"/>
    </font>
    <font>
      <sz val="11"/>
      <color indexed="8"/>
      <name val="Calibri"/>
      <family val="2"/>
      <charset val="238"/>
    </font>
    <font>
      <sz val="8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b/>
      <sz val="8"/>
      <color indexed="10"/>
      <name val="Tahoma"/>
      <family val="2"/>
      <charset val="238"/>
    </font>
    <font>
      <b/>
      <sz val="8"/>
      <color indexed="18"/>
      <name val="Tahoma"/>
      <family val="2"/>
      <charset val="238"/>
    </font>
    <font>
      <sz val="8"/>
      <color indexed="21"/>
      <name val="Tahoma"/>
      <family val="2"/>
      <charset val="238"/>
    </font>
    <font>
      <b/>
      <sz val="8"/>
      <color indexed="52"/>
      <name val="Tahoma"/>
      <family val="2"/>
      <charset val="238"/>
    </font>
    <font>
      <sz val="8"/>
      <color indexed="30"/>
      <name val="Tahoma"/>
      <family val="2"/>
      <charset val="238"/>
    </font>
    <font>
      <b/>
      <sz val="8"/>
      <color indexed="17"/>
      <name val="Tahoma"/>
      <family val="2"/>
      <charset val="238"/>
    </font>
    <font>
      <b/>
      <sz val="11"/>
      <color indexed="8"/>
      <name val="Calibri"/>
      <family val="2"/>
      <charset val="238"/>
    </font>
    <font>
      <sz val="8"/>
      <name val="Arial CE"/>
      <family val="2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sz val="10"/>
      <color rgb="FF969696"/>
      <name val="Arial CE"/>
    </font>
    <font>
      <sz val="10"/>
      <name val="Arial CE"/>
    </font>
    <font>
      <b/>
      <sz val="8"/>
      <color rgb="FF969696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505050"/>
      <name val="Arial CE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FFFFCC"/>
      </patternFill>
    </fill>
    <fill>
      <patternFill patternType="solid">
        <fgColor indexed="31"/>
        <bgColor indexed="47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rgb="FFF2F2F2"/>
      </bottom>
      <diagonal/>
    </border>
    <border>
      <left/>
      <right/>
      <top style="thick">
        <color rgb="FFF2F2F2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thick">
        <color rgb="FFF2F2F2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rgb="FF2B2E91"/>
      </bottom>
      <diagonal/>
    </border>
    <border>
      <left/>
      <right/>
      <top style="thin">
        <color rgb="FF2B2E91"/>
      </top>
      <bottom/>
      <diagonal/>
    </border>
    <border>
      <left style="thin">
        <color rgb="FF2B2E91"/>
      </left>
      <right/>
      <top style="thin">
        <color rgb="FF2B2E91"/>
      </top>
      <bottom/>
      <diagonal/>
    </border>
    <border>
      <left style="thin">
        <color rgb="FF2B2E91"/>
      </left>
      <right/>
      <top/>
      <bottom/>
      <diagonal/>
    </border>
    <border>
      <left style="thin">
        <color rgb="FF2B2E91"/>
      </left>
      <right/>
      <top/>
      <bottom style="thin">
        <color rgb="FF2B2E91"/>
      </bottom>
      <diagonal/>
    </border>
    <border>
      <left/>
      <right style="thin">
        <color rgb="FF2B2E91"/>
      </right>
      <top style="thin">
        <color rgb="FF2B2E91"/>
      </top>
      <bottom/>
      <diagonal/>
    </border>
    <border>
      <left/>
      <right style="thin">
        <color rgb="FF2B2E91"/>
      </right>
      <top/>
      <bottom/>
      <diagonal/>
    </border>
    <border>
      <left/>
      <right style="thin">
        <color rgb="FF2B2E91"/>
      </right>
      <top/>
      <bottom style="thin">
        <color rgb="FF2B2E91"/>
      </bottom>
      <diagonal/>
    </border>
    <border>
      <left/>
      <right/>
      <top/>
      <bottom style="thin">
        <color auto="1"/>
      </bottom>
      <diagonal/>
    </border>
    <border>
      <left/>
      <right/>
      <top style="thick">
        <color rgb="FFF2F2F2"/>
      </top>
      <bottom style="thick">
        <color rgb="FFF2F2F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4">
    <xf numFmtId="0" fontId="0" fillId="0" borderId="0"/>
    <xf numFmtId="0" fontId="10" fillId="0" borderId="0"/>
    <xf numFmtId="0" fontId="20" fillId="0" borderId="0"/>
    <xf numFmtId="0" fontId="39" fillId="0" borderId="0" applyNumberFormat="0" applyFill="0" applyBorder="0" applyAlignment="0" applyProtection="0"/>
  </cellStyleXfs>
  <cellXfs count="340">
    <xf numFmtId="0" fontId="0" fillId="0" borderId="0" xfId="0"/>
    <xf numFmtId="164" fontId="1" fillId="0" borderId="0" xfId="0" applyNumberFormat="1" applyFont="1"/>
    <xf numFmtId="164" fontId="2" fillId="0" borderId="0" xfId="0" applyNumberFormat="1" applyFont="1"/>
    <xf numFmtId="0" fontId="0" fillId="2" borderId="0" xfId="0" applyFill="1" applyProtection="1"/>
    <xf numFmtId="0" fontId="0" fillId="0" borderId="0" xfId="0" applyProtection="1"/>
    <xf numFmtId="0" fontId="0" fillId="2" borderId="6" xfId="0" applyFill="1" applyBorder="1" applyProtection="1"/>
    <xf numFmtId="0" fontId="0" fillId="2" borderId="8" xfId="0" applyFill="1" applyBorder="1" applyProtection="1"/>
    <xf numFmtId="0" fontId="0" fillId="2" borderId="7" xfId="0" applyFill="1" applyBorder="1" applyProtection="1"/>
    <xf numFmtId="0" fontId="0" fillId="2" borderId="11" xfId="0" applyFill="1" applyBorder="1" applyProtection="1"/>
    <xf numFmtId="0" fontId="0" fillId="2" borderId="9" xfId="0" applyFill="1" applyBorder="1" applyProtection="1"/>
    <xf numFmtId="0" fontId="0" fillId="2" borderId="12" xfId="0" applyFill="1" applyBorder="1" applyProtection="1"/>
    <xf numFmtId="0" fontId="0" fillId="2" borderId="10" xfId="0" applyFill="1" applyBorder="1" applyProtection="1"/>
    <xf numFmtId="0" fontId="0" fillId="2" borderId="13" xfId="0" applyFill="1" applyBorder="1" applyProtection="1"/>
    <xf numFmtId="0" fontId="1" fillId="2" borderId="0" xfId="0" applyFont="1" applyFill="1" applyAlignment="1" applyProtection="1">
      <alignment horizontal="left" indent="1"/>
    </xf>
    <xf numFmtId="0" fontId="6" fillId="2" borderId="0" xfId="0" applyFont="1" applyFill="1" applyAlignment="1" applyProtection="1">
      <alignment horizontal="left" indent="1"/>
    </xf>
    <xf numFmtId="0" fontId="2" fillId="2" borderId="0" xfId="0" applyFont="1" applyFill="1" applyAlignment="1" applyProtection="1">
      <alignment horizontal="right"/>
    </xf>
    <xf numFmtId="164" fontId="1" fillId="2" borderId="0" xfId="0" applyNumberFormat="1" applyFont="1" applyFill="1" applyAlignment="1" applyProtection="1">
      <alignment horizontal="left" indent="1"/>
    </xf>
    <xf numFmtId="0" fontId="2" fillId="2" borderId="14" xfId="0" applyFont="1" applyFill="1" applyBorder="1" applyAlignment="1" applyProtection="1">
      <alignment horizontal="left"/>
    </xf>
    <xf numFmtId="0" fontId="2" fillId="2" borderId="14" xfId="0" applyFont="1" applyFill="1" applyBorder="1" applyAlignment="1" applyProtection="1">
      <alignment horizontal="center"/>
    </xf>
    <xf numFmtId="0" fontId="2" fillId="2" borderId="14" xfId="0" applyFont="1" applyFill="1" applyBorder="1" applyAlignment="1" applyProtection="1">
      <alignment horizontal="right"/>
    </xf>
    <xf numFmtId="0" fontId="2" fillId="2" borderId="0" xfId="0" applyFont="1" applyFill="1" applyProtection="1"/>
    <xf numFmtId="164" fontId="1" fillId="2" borderId="0" xfId="0" applyNumberFormat="1" applyFont="1" applyFill="1" applyProtection="1"/>
    <xf numFmtId="0" fontId="1" fillId="3" borderId="0" xfId="0" applyFont="1" applyFill="1" applyAlignment="1" applyProtection="1">
      <alignment horizontal="left"/>
    </xf>
    <xf numFmtId="0" fontId="2" fillId="3" borderId="0" xfId="0" applyFont="1" applyFill="1" applyAlignment="1" applyProtection="1">
      <alignment horizontal="left"/>
    </xf>
    <xf numFmtId="0" fontId="1" fillId="3" borderId="0" xfId="0" applyFont="1" applyFill="1" applyAlignment="1" applyProtection="1">
      <alignment horizontal="center"/>
    </xf>
    <xf numFmtId="4" fontId="1" fillId="3" borderId="0" xfId="0" applyNumberFormat="1" applyFont="1" applyFill="1" applyAlignment="1" applyProtection="1">
      <alignment horizontal="right"/>
    </xf>
    <xf numFmtId="164" fontId="1" fillId="3" borderId="0" xfId="0" applyNumberFormat="1" applyFont="1" applyFill="1" applyAlignment="1" applyProtection="1">
      <alignment horizontal="right"/>
    </xf>
    <xf numFmtId="0" fontId="1" fillId="2" borderId="0" xfId="0" applyFont="1" applyFill="1" applyAlignment="1" applyProtection="1">
      <alignment wrapText="1"/>
    </xf>
    <xf numFmtId="0" fontId="0" fillId="2" borderId="1" xfId="0" applyFill="1" applyBorder="1" applyProtection="1"/>
    <xf numFmtId="0" fontId="1" fillId="2" borderId="1" xfId="0" applyFont="1" applyFill="1" applyBorder="1" applyAlignment="1" applyProtection="1">
      <alignment wrapText="1"/>
    </xf>
    <xf numFmtId="4" fontId="1" fillId="3" borderId="2" xfId="0" applyNumberFormat="1" applyFont="1" applyFill="1" applyBorder="1" applyAlignment="1" applyProtection="1">
      <alignment horizontal="right"/>
    </xf>
    <xf numFmtId="164" fontId="1" fillId="3" borderId="2" xfId="0" applyNumberFormat="1" applyFont="1" applyFill="1" applyBorder="1" applyAlignment="1" applyProtection="1">
      <alignment horizontal="right"/>
    </xf>
    <xf numFmtId="0" fontId="0" fillId="2" borderId="3" xfId="0" applyFill="1" applyBorder="1" applyProtection="1"/>
    <xf numFmtId="0" fontId="2" fillId="2" borderId="4" xfId="0" applyFont="1" applyFill="1" applyBorder="1" applyProtection="1"/>
    <xf numFmtId="0" fontId="2" fillId="2" borderId="4" xfId="0" applyFont="1" applyFill="1" applyBorder="1" applyAlignment="1" applyProtection="1">
      <alignment wrapText="1"/>
    </xf>
    <xf numFmtId="0" fontId="2" fillId="2" borderId="4" xfId="0" applyFont="1" applyFill="1" applyBorder="1" applyAlignment="1" applyProtection="1">
      <alignment horizontal="right"/>
    </xf>
    <xf numFmtId="164" fontId="2" fillId="2" borderId="4" xfId="0" applyNumberFormat="1" applyFont="1" applyFill="1" applyBorder="1" applyAlignment="1" applyProtection="1">
      <alignment horizontal="left"/>
    </xf>
    <xf numFmtId="10" fontId="2" fillId="2" borderId="4" xfId="0" applyNumberFormat="1" applyFont="1" applyFill="1" applyBorder="1" applyAlignment="1" applyProtection="1">
      <alignment horizontal="left"/>
    </xf>
    <xf numFmtId="0" fontId="1" fillId="2" borderId="6" xfId="0" applyFont="1" applyFill="1" applyBorder="1" applyAlignment="1" applyProtection="1">
      <alignment wrapText="1"/>
    </xf>
    <xf numFmtId="0" fontId="0" fillId="2" borderId="0" xfId="0" applyFill="1" applyProtection="1">
      <protection locked="0"/>
    </xf>
    <xf numFmtId="164" fontId="1" fillId="3" borderId="0" xfId="0" applyNumberFormat="1" applyFont="1" applyFill="1" applyAlignment="1" applyProtection="1">
      <alignment horizontal="right"/>
      <protection locked="0"/>
    </xf>
    <xf numFmtId="0" fontId="0" fillId="2" borderId="1" xfId="0" applyFill="1" applyBorder="1" applyProtection="1">
      <protection locked="0"/>
    </xf>
    <xf numFmtId="164" fontId="1" fillId="3" borderId="2" xfId="0" applyNumberFormat="1" applyFont="1" applyFill="1" applyBorder="1" applyAlignment="1" applyProtection="1">
      <alignment horizontal="right"/>
      <protection locked="0"/>
    </xf>
    <xf numFmtId="0" fontId="2" fillId="2" borderId="4" xfId="0" applyFont="1" applyFill="1" applyBorder="1" applyAlignment="1" applyProtection="1">
      <alignment horizontal="right"/>
      <protection locked="0"/>
    </xf>
    <xf numFmtId="0" fontId="0" fillId="2" borderId="6" xfId="0" applyFill="1" applyBorder="1" applyProtection="1">
      <protection locked="0"/>
    </xf>
    <xf numFmtId="9" fontId="1" fillId="3" borderId="0" xfId="0" applyNumberFormat="1" applyFont="1" applyFill="1" applyAlignment="1" applyProtection="1">
      <alignment horizontal="center"/>
      <protection locked="0"/>
    </xf>
    <xf numFmtId="9" fontId="1" fillId="3" borderId="2" xfId="0" applyNumberFormat="1" applyFont="1" applyFill="1" applyBorder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right" vertical="top"/>
    </xf>
    <xf numFmtId="164" fontId="2" fillId="2" borderId="0" xfId="0" applyNumberFormat="1" applyFont="1" applyFill="1" applyAlignment="1" applyProtection="1">
      <alignment horizontal="right"/>
    </xf>
    <xf numFmtId="0" fontId="2" fillId="2" borderId="14" xfId="0" applyFont="1" applyFill="1" applyBorder="1" applyProtection="1"/>
    <xf numFmtId="0" fontId="2" fillId="3" borderId="0" xfId="0" quotePrefix="1" applyFont="1" applyFill="1" applyProtection="1"/>
    <xf numFmtId="164" fontId="1" fillId="3" borderId="0" xfId="0" applyNumberFormat="1" applyFont="1" applyFill="1" applyProtection="1"/>
    <xf numFmtId="10" fontId="1" fillId="3" borderId="0" xfId="0" applyNumberFormat="1" applyFont="1" applyFill="1" applyProtection="1"/>
    <xf numFmtId="0" fontId="0" fillId="3" borderId="0" xfId="0" applyFill="1" applyProtection="1"/>
    <xf numFmtId="0" fontId="1" fillId="2" borderId="1" xfId="0" applyFont="1" applyFill="1" applyBorder="1" applyProtection="1"/>
    <xf numFmtId="164" fontId="1" fillId="2" borderId="1" xfId="0" applyNumberFormat="1" applyFont="1" applyFill="1" applyBorder="1" applyProtection="1"/>
    <xf numFmtId="10" fontId="1" fillId="2" borderId="1" xfId="0" applyNumberFormat="1" applyFont="1" applyFill="1" applyBorder="1" applyProtection="1"/>
    <xf numFmtId="0" fontId="1" fillId="2" borderId="15" xfId="0" applyFont="1" applyFill="1" applyBorder="1" applyProtection="1"/>
    <xf numFmtId="164" fontId="1" fillId="2" borderId="15" xfId="0" applyNumberFormat="1" applyFont="1" applyFill="1" applyBorder="1" applyProtection="1"/>
    <xf numFmtId="10" fontId="1" fillId="2" borderId="15" xfId="0" applyNumberFormat="1" applyFont="1" applyFill="1" applyBorder="1" applyProtection="1"/>
    <xf numFmtId="49" fontId="11" fillId="5" borderId="16" xfId="1" applyNumberFormat="1" applyFont="1" applyFill="1" applyBorder="1" applyAlignment="1">
      <alignment horizontal="center" vertical="center" wrapText="1" readingOrder="1"/>
    </xf>
    <xf numFmtId="0" fontId="10" fillId="0" borderId="0" xfId="1"/>
    <xf numFmtId="0" fontId="12" fillId="6" borderId="16" xfId="1" applyFont="1" applyFill="1" applyBorder="1" applyAlignment="1">
      <alignment horizontal="right" vertical="center" readingOrder="1"/>
    </xf>
    <xf numFmtId="49" fontId="12" fillId="7" borderId="16" xfId="1" applyNumberFormat="1" applyFont="1" applyFill="1" applyBorder="1" applyAlignment="1">
      <alignment horizontal="left" vertical="center" readingOrder="1"/>
    </xf>
    <xf numFmtId="0" fontId="12" fillId="7" borderId="16" xfId="1" applyFont="1" applyFill="1" applyBorder="1" applyAlignment="1">
      <alignment horizontal="left" vertical="center" readingOrder="1"/>
    </xf>
    <xf numFmtId="49" fontId="12" fillId="7" borderId="16" xfId="1" applyNumberFormat="1" applyFont="1" applyFill="1" applyBorder="1" applyAlignment="1">
      <alignment horizontal="center" vertical="center" readingOrder="1"/>
    </xf>
    <xf numFmtId="165" fontId="12" fillId="7" borderId="16" xfId="1" applyNumberFormat="1" applyFont="1" applyFill="1" applyBorder="1" applyAlignment="1">
      <alignment horizontal="right" vertical="center" readingOrder="1"/>
    </xf>
    <xf numFmtId="49" fontId="12" fillId="7" borderId="16" xfId="1" applyNumberFormat="1" applyFont="1" applyFill="1" applyBorder="1" applyAlignment="1">
      <alignment horizontal="left" vertical="center" wrapText="1" readingOrder="1"/>
    </xf>
    <xf numFmtId="49" fontId="12" fillId="6" borderId="16" xfId="1" applyNumberFormat="1" applyFont="1" applyFill="1" applyBorder="1" applyAlignment="1">
      <alignment horizontal="left" vertical="center" readingOrder="1"/>
    </xf>
    <xf numFmtId="166" fontId="13" fillId="6" borderId="16" xfId="1" applyNumberFormat="1" applyFont="1" applyFill="1" applyBorder="1" applyAlignment="1">
      <alignment horizontal="right" vertical="center" readingOrder="1"/>
    </xf>
    <xf numFmtId="4" fontId="12" fillId="7" borderId="16" xfId="1" applyNumberFormat="1" applyFont="1" applyFill="1" applyBorder="1" applyAlignment="1">
      <alignment horizontal="right" vertical="center" readingOrder="1"/>
    </xf>
    <xf numFmtId="166" fontId="12" fillId="7" borderId="16" xfId="1" applyNumberFormat="1" applyFont="1" applyFill="1" applyBorder="1" applyAlignment="1">
      <alignment horizontal="right" vertical="center" readingOrder="1"/>
    </xf>
    <xf numFmtId="4" fontId="12" fillId="0" borderId="16" xfId="1" applyNumberFormat="1" applyFont="1" applyBorder="1" applyAlignment="1">
      <alignment horizontal="right" vertical="center" readingOrder="1"/>
    </xf>
    <xf numFmtId="0" fontId="11" fillId="6" borderId="16" xfId="1" applyFont="1" applyFill="1" applyBorder="1" applyAlignment="1">
      <alignment horizontal="right" vertical="center" readingOrder="1"/>
    </xf>
    <xf numFmtId="49" fontId="11" fillId="7" borderId="16" xfId="1" applyNumberFormat="1" applyFont="1" applyFill="1" applyBorder="1" applyAlignment="1">
      <alignment horizontal="left" vertical="center" readingOrder="1"/>
    </xf>
    <xf numFmtId="0" fontId="11" fillId="7" borderId="16" xfId="1" applyFont="1" applyFill="1" applyBorder="1" applyAlignment="1">
      <alignment horizontal="left" vertical="center" readingOrder="1"/>
    </xf>
    <xf numFmtId="49" fontId="14" fillId="7" borderId="16" xfId="1" applyNumberFormat="1" applyFont="1" applyFill="1" applyBorder="1" applyAlignment="1">
      <alignment horizontal="center" vertical="center" readingOrder="1"/>
    </xf>
    <xf numFmtId="3" fontId="11" fillId="6" borderId="16" xfId="1" applyNumberFormat="1" applyFont="1" applyFill="1" applyBorder="1" applyAlignment="1">
      <alignment horizontal="right" vertical="center" readingOrder="1"/>
    </xf>
    <xf numFmtId="49" fontId="11" fillId="7" borderId="16" xfId="1" applyNumberFormat="1" applyFont="1" applyFill="1" applyBorder="1" applyAlignment="1">
      <alignment horizontal="center" vertical="center" readingOrder="1"/>
    </xf>
    <xf numFmtId="49" fontId="11" fillId="6" borderId="16" xfId="1" applyNumberFormat="1" applyFont="1" applyFill="1" applyBorder="1" applyAlignment="1">
      <alignment horizontal="left" vertical="center" wrapText="1" readingOrder="1"/>
    </xf>
    <xf numFmtId="49" fontId="11" fillId="6" borderId="16" xfId="1" applyNumberFormat="1" applyFont="1" applyFill="1" applyBorder="1" applyAlignment="1">
      <alignment horizontal="left" vertical="center" readingOrder="1"/>
    </xf>
    <xf numFmtId="166" fontId="11" fillId="6" borderId="16" xfId="1" applyNumberFormat="1" applyFont="1" applyFill="1" applyBorder="1" applyAlignment="1">
      <alignment horizontal="right" vertical="center" readingOrder="1"/>
    </xf>
    <xf numFmtId="4" fontId="15" fillId="6" borderId="16" xfId="1" applyNumberFormat="1" applyFont="1" applyFill="1" applyBorder="1" applyAlignment="1">
      <alignment horizontal="right" vertical="center" readingOrder="1"/>
    </xf>
    <xf numFmtId="4" fontId="11" fillId="6" borderId="16" xfId="1" applyNumberFormat="1" applyFont="1" applyFill="1" applyBorder="1" applyAlignment="1">
      <alignment horizontal="right" vertical="center" readingOrder="1"/>
    </xf>
    <xf numFmtId="166" fontId="11" fillId="7" borderId="16" xfId="1" applyNumberFormat="1" applyFont="1" applyFill="1" applyBorder="1" applyAlignment="1">
      <alignment horizontal="right" vertical="center" readingOrder="1"/>
    </xf>
    <xf numFmtId="49" fontId="16" fillId="7" borderId="16" xfId="1" applyNumberFormat="1" applyFont="1" applyFill="1" applyBorder="1" applyAlignment="1">
      <alignment horizontal="center" vertical="center" readingOrder="1"/>
    </xf>
    <xf numFmtId="49" fontId="17" fillId="6" borderId="16" xfId="1" applyNumberFormat="1" applyFont="1" applyFill="1" applyBorder="1" applyAlignment="1">
      <alignment horizontal="left" vertical="center" wrapText="1" readingOrder="1"/>
    </xf>
    <xf numFmtId="49" fontId="18" fillId="7" borderId="16" xfId="1" applyNumberFormat="1" applyFont="1" applyFill="1" applyBorder="1" applyAlignment="1">
      <alignment horizontal="center" vertical="center" readingOrder="1"/>
    </xf>
    <xf numFmtId="49" fontId="12" fillId="7" borderId="17" xfId="1" applyNumberFormat="1" applyFont="1" applyFill="1" applyBorder="1" applyAlignment="1">
      <alignment horizontal="left" vertical="center" wrapText="1" readingOrder="1"/>
    </xf>
    <xf numFmtId="4" fontId="19" fillId="0" borderId="0" xfId="1" applyNumberFormat="1" applyFont="1"/>
    <xf numFmtId="0" fontId="21" fillId="0" borderId="0" xfId="2" applyFont="1" applyAlignment="1">
      <alignment horizontal="left" vertical="center"/>
    </xf>
    <xf numFmtId="0" fontId="20" fillId="0" borderId="0" xfId="2"/>
    <xf numFmtId="0" fontId="20" fillId="0" borderId="0" xfId="2" applyAlignment="1">
      <alignment horizontal="left" vertical="center"/>
    </xf>
    <xf numFmtId="0" fontId="20" fillId="0" borderId="18" xfId="2" applyBorder="1"/>
    <xf numFmtId="0" fontId="20" fillId="0" borderId="19" xfId="2" applyBorder="1"/>
    <xf numFmtId="0" fontId="20" fillId="0" borderId="20" xfId="2" applyBorder="1"/>
    <xf numFmtId="0" fontId="22" fillId="0" borderId="0" xfId="2" applyFont="1" applyAlignment="1">
      <alignment horizontal="left" vertical="center"/>
    </xf>
    <xf numFmtId="0" fontId="23" fillId="0" borderId="0" xfId="2" applyFont="1" applyAlignment="1">
      <alignment horizontal="left" vertical="center"/>
    </xf>
    <xf numFmtId="0" fontId="24" fillId="0" borderId="0" xfId="2" applyFont="1" applyAlignment="1">
      <alignment horizontal="left" vertical="center"/>
    </xf>
    <xf numFmtId="0" fontId="25" fillId="0" borderId="0" xfId="2" applyFont="1" applyAlignment="1">
      <alignment horizontal="left" vertical="top"/>
    </xf>
    <xf numFmtId="0" fontId="28" fillId="0" borderId="0" xfId="2" applyFont="1" applyAlignment="1">
      <alignment horizontal="left" vertical="top"/>
    </xf>
    <xf numFmtId="0" fontId="25" fillId="0" borderId="0" xfId="2" applyFont="1" applyAlignment="1">
      <alignment horizontal="left" vertical="center"/>
    </xf>
    <xf numFmtId="0" fontId="26" fillId="0" borderId="0" xfId="2" applyFont="1" applyAlignment="1">
      <alignment horizontal="left" vertical="center"/>
    </xf>
    <xf numFmtId="0" fontId="26" fillId="4" borderId="0" xfId="2" applyFont="1" applyFill="1" applyAlignment="1" applyProtection="1">
      <alignment horizontal="left" vertical="center"/>
      <protection locked="0"/>
    </xf>
    <xf numFmtId="49" fontId="26" fillId="4" borderId="0" xfId="2" applyNumberFormat="1" applyFont="1" applyFill="1" applyAlignment="1" applyProtection="1">
      <alignment horizontal="left" vertical="center"/>
      <protection locked="0"/>
    </xf>
    <xf numFmtId="0" fontId="20" fillId="0" borderId="21" xfId="2" applyBorder="1"/>
    <xf numFmtId="0" fontId="20" fillId="0" borderId="0" xfId="2" applyAlignment="1">
      <alignment vertical="center"/>
    </xf>
    <xf numFmtId="0" fontId="20" fillId="0" borderId="20" xfId="2" applyBorder="1" applyAlignment="1">
      <alignment vertical="center"/>
    </xf>
    <xf numFmtId="0" fontId="29" fillId="0" borderId="22" xfId="2" applyFont="1" applyBorder="1" applyAlignment="1">
      <alignment horizontal="left" vertical="center"/>
    </xf>
    <xf numFmtId="0" fontId="20" fillId="0" borderId="22" xfId="2" applyBorder="1" applyAlignment="1">
      <alignment vertical="center"/>
    </xf>
    <xf numFmtId="0" fontId="25" fillId="0" borderId="0" xfId="2" applyFont="1" applyAlignment="1">
      <alignment vertical="center"/>
    </xf>
    <xf numFmtId="0" fontId="25" fillId="0" borderId="20" xfId="2" applyFont="1" applyBorder="1" applyAlignment="1">
      <alignment vertical="center"/>
    </xf>
    <xf numFmtId="0" fontId="20" fillId="8" borderId="0" xfId="2" applyFill="1" applyAlignment="1">
      <alignment vertical="center"/>
    </xf>
    <xf numFmtId="0" fontId="31" fillId="8" borderId="23" xfId="2" applyFont="1" applyFill="1" applyBorder="1" applyAlignment="1">
      <alignment horizontal="left" vertical="center"/>
    </xf>
    <xf numFmtId="0" fontId="20" fillId="8" borderId="24" xfId="2" applyFill="1" applyBorder="1" applyAlignment="1">
      <alignment vertical="center"/>
    </xf>
    <xf numFmtId="0" fontId="31" fillId="8" borderId="24" xfId="2" applyFont="1" applyFill="1" applyBorder="1" applyAlignment="1">
      <alignment horizontal="center" vertical="center"/>
    </xf>
    <xf numFmtId="0" fontId="32" fillId="0" borderId="21" xfId="2" applyFont="1" applyBorder="1" applyAlignment="1">
      <alignment horizontal="left" vertical="center"/>
    </xf>
    <xf numFmtId="0" fontId="20" fillId="0" borderId="21" xfId="2" applyBorder="1" applyAlignment="1">
      <alignment vertical="center"/>
    </xf>
    <xf numFmtId="0" fontId="25" fillId="0" borderId="22" xfId="2" applyFont="1" applyBorder="1" applyAlignment="1">
      <alignment horizontal="left" vertical="center"/>
    </xf>
    <xf numFmtId="0" fontId="20" fillId="0" borderId="26" xfId="2" applyBorder="1" applyAlignment="1">
      <alignment vertical="center"/>
    </xf>
    <xf numFmtId="0" fontId="20" fillId="0" borderId="27" xfId="2" applyBorder="1" applyAlignment="1">
      <alignment vertical="center"/>
    </xf>
    <xf numFmtId="0" fontId="20" fillId="0" borderId="18" xfId="2" applyBorder="1" applyAlignment="1">
      <alignment vertical="center"/>
    </xf>
    <xf numFmtId="0" fontId="20" fillId="0" borderId="19" xfId="2" applyBorder="1" applyAlignment="1">
      <alignment vertical="center"/>
    </xf>
    <xf numFmtId="0" fontId="26" fillId="0" borderId="0" xfId="2" applyFont="1" applyAlignment="1">
      <alignment vertical="center"/>
    </xf>
    <xf numFmtId="0" fontId="26" fillId="0" borderId="20" xfId="2" applyFont="1" applyBorder="1" applyAlignment="1">
      <alignment vertical="center"/>
    </xf>
    <xf numFmtId="0" fontId="28" fillId="0" borderId="0" xfId="2" applyFont="1" applyAlignment="1">
      <alignment vertical="center"/>
    </xf>
    <xf numFmtId="0" fontId="28" fillId="0" borderId="20" xfId="2" applyFont="1" applyBorder="1" applyAlignment="1">
      <alignment vertical="center"/>
    </xf>
    <xf numFmtId="0" fontId="28" fillId="0" borderId="0" xfId="2" applyFont="1" applyAlignment="1">
      <alignment horizontal="left" vertical="center"/>
    </xf>
    <xf numFmtId="0" fontId="29" fillId="0" borderId="0" xfId="2" applyFont="1" applyAlignment="1">
      <alignment vertical="center"/>
    </xf>
    <xf numFmtId="0" fontId="20" fillId="0" borderId="29" xfId="2" applyBorder="1" applyAlignment="1">
      <alignment vertical="center"/>
    </xf>
    <xf numFmtId="0" fontId="20" fillId="0" borderId="30" xfId="2" applyBorder="1" applyAlignment="1">
      <alignment vertical="center"/>
    </xf>
    <xf numFmtId="0" fontId="20" fillId="0" borderId="32" xfId="2" applyBorder="1" applyAlignment="1">
      <alignment vertical="center"/>
    </xf>
    <xf numFmtId="0" fontId="20" fillId="9" borderId="24" xfId="2" applyFill="1" applyBorder="1" applyAlignment="1">
      <alignment vertical="center"/>
    </xf>
    <xf numFmtId="0" fontId="35" fillId="9" borderId="0" xfId="2" applyFont="1" applyFill="1" applyAlignment="1">
      <alignment horizontal="center" vertical="center"/>
    </xf>
    <xf numFmtId="0" fontId="36" fillId="0" borderId="33" xfId="2" applyFont="1" applyBorder="1" applyAlignment="1">
      <alignment horizontal="center" vertical="center" wrapText="1"/>
    </xf>
    <xf numFmtId="0" fontId="36" fillId="0" borderId="34" xfId="2" applyFont="1" applyBorder="1" applyAlignment="1">
      <alignment horizontal="center" vertical="center" wrapText="1"/>
    </xf>
    <xf numFmtId="0" fontId="36" fillId="0" borderId="35" xfId="2" applyFont="1" applyBorder="1" applyAlignment="1">
      <alignment horizontal="center" vertical="center" wrapText="1"/>
    </xf>
    <xf numFmtId="0" fontId="20" fillId="0" borderId="28" xfId="2" applyBorder="1" applyAlignment="1">
      <alignment vertical="center"/>
    </xf>
    <xf numFmtId="0" fontId="31" fillId="0" borderId="0" xfId="2" applyFont="1" applyAlignment="1">
      <alignment vertical="center"/>
    </xf>
    <xf numFmtId="0" fontId="31" fillId="0" borderId="20" xfId="2" applyFont="1" applyBorder="1" applyAlignment="1">
      <alignment vertical="center"/>
    </xf>
    <xf numFmtId="0" fontId="37" fillId="0" borderId="0" xfId="2" applyFont="1" applyAlignment="1">
      <alignment horizontal="left" vertical="center"/>
    </xf>
    <xf numFmtId="0" fontId="37" fillId="0" borderId="0" xfId="2" applyFont="1" applyAlignment="1">
      <alignment vertical="center"/>
    </xf>
    <xf numFmtId="0" fontId="31" fillId="0" borderId="0" xfId="2" applyFont="1" applyAlignment="1">
      <alignment horizontal="center" vertical="center"/>
    </xf>
    <xf numFmtId="4" fontId="33" fillId="0" borderId="31" xfId="2" applyNumberFormat="1" applyFont="1" applyBorder="1" applyAlignment="1">
      <alignment vertical="center"/>
    </xf>
    <xf numFmtId="4" fontId="33" fillId="0" borderId="0" xfId="2" applyNumberFormat="1" applyFont="1" applyAlignment="1">
      <alignment vertical="center"/>
    </xf>
    <xf numFmtId="169" fontId="33" fillId="0" borderId="0" xfId="2" applyNumberFormat="1" applyFont="1" applyAlignment="1">
      <alignment vertical="center"/>
    </xf>
    <xf numFmtId="4" fontId="33" fillId="0" borderId="32" xfId="2" applyNumberFormat="1" applyFont="1" applyBorder="1" applyAlignment="1">
      <alignment vertical="center"/>
    </xf>
    <xf numFmtId="0" fontId="31" fillId="0" borderId="0" xfId="2" applyFont="1" applyAlignment="1">
      <alignment horizontal="left" vertical="center"/>
    </xf>
    <xf numFmtId="0" fontId="38" fillId="0" borderId="0" xfId="2" applyFont="1" applyAlignment="1">
      <alignment horizontal="left" vertical="center"/>
    </xf>
    <xf numFmtId="0" fontId="40" fillId="0" borderId="0" xfId="3" applyFont="1" applyAlignment="1">
      <alignment horizontal="center" vertical="center"/>
    </xf>
    <xf numFmtId="0" fontId="41" fillId="0" borderId="20" xfId="2" applyFont="1" applyBorder="1" applyAlignment="1">
      <alignment vertical="center"/>
    </xf>
    <xf numFmtId="0" fontId="42" fillId="0" borderId="0" xfId="2" applyFont="1" applyAlignment="1">
      <alignment vertical="center"/>
    </xf>
    <xf numFmtId="0" fontId="43" fillId="0" borderId="0" xfId="2" applyFont="1" applyAlignment="1">
      <alignment vertical="center"/>
    </xf>
    <xf numFmtId="0" fontId="28" fillId="0" borderId="0" xfId="2" applyFont="1" applyAlignment="1">
      <alignment horizontal="center" vertical="center"/>
    </xf>
    <xf numFmtId="4" fontId="44" fillId="0" borderId="31" xfId="2" applyNumberFormat="1" applyFont="1" applyBorder="1" applyAlignment="1">
      <alignment vertical="center"/>
    </xf>
    <xf numFmtId="4" fontId="44" fillId="0" borderId="0" xfId="2" applyNumberFormat="1" applyFont="1" applyAlignment="1">
      <alignment vertical="center"/>
    </xf>
    <xf numFmtId="169" fontId="44" fillId="0" borderId="0" xfId="2" applyNumberFormat="1" applyFont="1" applyAlignment="1">
      <alignment vertical="center"/>
    </xf>
    <xf numFmtId="4" fontId="44" fillId="0" borderId="32" xfId="2" applyNumberFormat="1" applyFont="1" applyBorder="1" applyAlignment="1">
      <alignment vertical="center"/>
    </xf>
    <xf numFmtId="0" fontId="41" fillId="0" borderId="0" xfId="2" applyFont="1" applyAlignment="1">
      <alignment vertical="center"/>
    </xf>
    <xf numFmtId="0" fontId="41" fillId="0" borderId="0" xfId="2" applyFont="1" applyAlignment="1">
      <alignment horizontal="left" vertical="center"/>
    </xf>
    <xf numFmtId="4" fontId="44" fillId="0" borderId="36" xfId="2" applyNumberFormat="1" applyFont="1" applyBorder="1" applyAlignment="1">
      <alignment vertical="center"/>
    </xf>
    <xf numFmtId="4" fontId="44" fillId="0" borderId="37" xfId="2" applyNumberFormat="1" applyFont="1" applyBorder="1" applyAlignment="1">
      <alignment vertical="center"/>
    </xf>
    <xf numFmtId="169" fontId="44" fillId="0" borderId="37" xfId="2" applyNumberFormat="1" applyFont="1" applyBorder="1" applyAlignment="1">
      <alignment vertical="center"/>
    </xf>
    <xf numFmtId="4" fontId="44" fillId="0" borderId="38" xfId="2" applyNumberFormat="1" applyFont="1" applyBorder="1" applyAlignment="1">
      <alignment vertical="center"/>
    </xf>
    <xf numFmtId="0" fontId="20" fillId="0" borderId="0" xfId="2" applyProtection="1">
      <protection locked="0"/>
    </xf>
    <xf numFmtId="0" fontId="20" fillId="0" borderId="19" xfId="2" applyBorder="1" applyProtection="1">
      <protection locked="0"/>
    </xf>
    <xf numFmtId="0" fontId="45" fillId="0" borderId="0" xfId="2" applyFont="1" applyAlignment="1">
      <alignment horizontal="left" vertical="center"/>
    </xf>
    <xf numFmtId="0" fontId="20" fillId="0" borderId="0" xfId="2" applyAlignment="1" applyProtection="1">
      <alignment vertical="center"/>
      <protection locked="0"/>
    </xf>
    <xf numFmtId="0" fontId="25" fillId="0" borderId="0" xfId="2" applyFont="1" applyAlignment="1" applyProtection="1">
      <alignment horizontal="left" vertical="center"/>
      <protection locked="0"/>
    </xf>
    <xf numFmtId="168" fontId="26" fillId="0" borderId="0" xfId="2" applyNumberFormat="1" applyFont="1" applyAlignment="1">
      <alignment horizontal="left" vertical="center"/>
    </xf>
    <xf numFmtId="0" fontId="20" fillId="0" borderId="0" xfId="2" applyAlignment="1">
      <alignment vertical="center" wrapText="1"/>
    </xf>
    <xf numFmtId="0" fontId="20" fillId="0" borderId="20" xfId="2" applyBorder="1" applyAlignment="1">
      <alignment vertical="center" wrapText="1"/>
    </xf>
    <xf numFmtId="0" fontId="20" fillId="0" borderId="0" xfId="2" applyAlignment="1" applyProtection="1">
      <alignment vertical="center" wrapText="1"/>
      <protection locked="0"/>
    </xf>
    <xf numFmtId="0" fontId="20" fillId="0" borderId="29" xfId="2" applyBorder="1" applyAlignment="1" applyProtection="1">
      <alignment vertical="center"/>
      <protection locked="0"/>
    </xf>
    <xf numFmtId="0" fontId="29" fillId="0" borderId="0" xfId="2" applyFont="1" applyAlignment="1">
      <alignment horizontal="left" vertical="center"/>
    </xf>
    <xf numFmtId="4" fontId="37" fillId="0" borderId="0" xfId="2" applyNumberFormat="1" applyFont="1" applyAlignment="1">
      <alignment vertical="center"/>
    </xf>
    <xf numFmtId="0" fontId="25" fillId="0" borderId="0" xfId="2" applyFont="1" applyAlignment="1">
      <alignment horizontal="right" vertical="center"/>
    </xf>
    <xf numFmtId="0" fontId="25" fillId="0" borderId="0" xfId="2" applyFont="1" applyAlignment="1" applyProtection="1">
      <alignment horizontal="right" vertical="center"/>
      <protection locked="0"/>
    </xf>
    <xf numFmtId="0" fontId="34" fillId="0" borderId="0" xfId="2" applyFont="1" applyAlignment="1">
      <alignment horizontal="left" vertical="center"/>
    </xf>
    <xf numFmtId="4" fontId="25" fillId="0" borderId="0" xfId="2" applyNumberFormat="1" applyFont="1" applyAlignment="1">
      <alignment vertical="center"/>
    </xf>
    <xf numFmtId="167" fontId="25" fillId="0" borderId="0" xfId="2" applyNumberFormat="1" applyFont="1" applyAlignment="1" applyProtection="1">
      <alignment horizontal="right" vertical="center"/>
      <protection locked="0"/>
    </xf>
    <xf numFmtId="0" fontId="20" fillId="9" borderId="0" xfId="2" applyFill="1" applyAlignment="1">
      <alignment vertical="center"/>
    </xf>
    <xf numFmtId="0" fontId="31" fillId="9" borderId="23" xfId="2" applyFont="1" applyFill="1" applyBorder="1" applyAlignment="1">
      <alignment horizontal="left" vertical="center"/>
    </xf>
    <xf numFmtId="0" fontId="31" fillId="9" borderId="24" xfId="2" applyFont="1" applyFill="1" applyBorder="1" applyAlignment="1">
      <alignment horizontal="right" vertical="center"/>
    </xf>
    <xf numFmtId="0" fontId="31" fillId="9" borderId="24" xfId="2" applyFont="1" applyFill="1" applyBorder="1" applyAlignment="1">
      <alignment horizontal="center" vertical="center"/>
    </xf>
    <xf numFmtId="0" fontId="20" fillId="9" borderId="24" xfId="2" applyFill="1" applyBorder="1" applyAlignment="1" applyProtection="1">
      <alignment vertical="center"/>
      <protection locked="0"/>
    </xf>
    <xf numFmtId="4" fontId="31" fillId="9" borderId="24" xfId="2" applyNumberFormat="1" applyFont="1" applyFill="1" applyBorder="1" applyAlignment="1">
      <alignment vertical="center"/>
    </xf>
    <xf numFmtId="0" fontId="20" fillId="9" borderId="25" xfId="2" applyFill="1" applyBorder="1" applyAlignment="1">
      <alignment vertical="center"/>
    </xf>
    <xf numFmtId="0" fontId="20" fillId="0" borderId="21" xfId="2" applyBorder="1" applyAlignment="1" applyProtection="1">
      <alignment vertical="center"/>
      <protection locked="0"/>
    </xf>
    <xf numFmtId="0" fontId="25" fillId="0" borderId="22" xfId="2" applyFont="1" applyBorder="1" applyAlignment="1">
      <alignment horizontal="center" vertical="center"/>
    </xf>
    <xf numFmtId="0" fontId="20" fillId="0" borderId="22" xfId="2" applyBorder="1" applyAlignment="1" applyProtection="1">
      <alignment vertical="center"/>
      <protection locked="0"/>
    </xf>
    <xf numFmtId="0" fontId="25" fillId="0" borderId="22" xfId="2" applyFont="1" applyBorder="1" applyAlignment="1">
      <alignment horizontal="right" vertical="center"/>
    </xf>
    <xf numFmtId="0" fontId="20" fillId="0" borderId="27" xfId="2" applyBorder="1" applyAlignment="1" applyProtection="1">
      <alignment vertical="center"/>
      <protection locked="0"/>
    </xf>
    <xf numFmtId="0" fontId="20" fillId="0" borderId="19" xfId="2" applyBorder="1" applyAlignment="1" applyProtection="1">
      <alignment vertical="center"/>
      <protection locked="0"/>
    </xf>
    <xf numFmtId="0" fontId="26" fillId="0" borderId="0" xfId="2" applyFont="1" applyAlignment="1">
      <alignment horizontal="left" vertical="center" wrapText="1"/>
    </xf>
    <xf numFmtId="0" fontId="35" fillId="9" borderId="0" xfId="2" applyFont="1" applyFill="1" applyAlignment="1">
      <alignment horizontal="left" vertical="center"/>
    </xf>
    <xf numFmtId="0" fontId="20" fillId="9" borderId="0" xfId="2" applyFill="1" applyAlignment="1" applyProtection="1">
      <alignment vertical="center"/>
      <protection locked="0"/>
    </xf>
    <xf numFmtId="0" fontId="35" fillId="9" borderId="0" xfId="2" applyFont="1" applyFill="1" applyAlignment="1">
      <alignment horizontal="right" vertical="center"/>
    </xf>
    <xf numFmtId="0" fontId="46" fillId="0" borderId="0" xfId="2" applyFont="1" applyAlignment="1">
      <alignment horizontal="left" vertical="center"/>
    </xf>
    <xf numFmtId="0" fontId="47" fillId="0" borderId="0" xfId="2" applyFont="1" applyAlignment="1">
      <alignment vertical="center"/>
    </xf>
    <xf numFmtId="0" fontId="47" fillId="0" borderId="20" xfId="2" applyFont="1" applyBorder="1" applyAlignment="1">
      <alignment vertical="center"/>
    </xf>
    <xf numFmtId="0" fontId="47" fillId="0" borderId="37" xfId="2" applyFont="1" applyBorder="1" applyAlignment="1">
      <alignment horizontal="left" vertical="center"/>
    </xf>
    <xf numFmtId="0" fontId="47" fillId="0" borderId="37" xfId="2" applyFont="1" applyBorder="1" applyAlignment="1">
      <alignment vertical="center"/>
    </xf>
    <xf numFmtId="0" fontId="47" fillId="0" borderId="37" xfId="2" applyFont="1" applyBorder="1" applyAlignment="1" applyProtection="1">
      <alignment vertical="center"/>
      <protection locked="0"/>
    </xf>
    <xf numFmtId="4" fontId="47" fillId="0" borderId="37" xfId="2" applyNumberFormat="1" applyFont="1" applyBorder="1" applyAlignment="1">
      <alignment vertical="center"/>
    </xf>
    <xf numFmtId="0" fontId="48" fillId="0" borderId="0" xfId="2" applyFont="1" applyAlignment="1">
      <alignment vertical="center"/>
    </xf>
    <xf numFmtId="0" fontId="48" fillId="0" borderId="20" xfId="2" applyFont="1" applyBorder="1" applyAlignment="1">
      <alignment vertical="center"/>
    </xf>
    <xf numFmtId="0" fontId="48" fillId="0" borderId="37" xfId="2" applyFont="1" applyBorder="1" applyAlignment="1">
      <alignment horizontal="left" vertical="center"/>
    </xf>
    <xf numFmtId="0" fontId="48" fillId="0" borderId="37" xfId="2" applyFont="1" applyBorder="1" applyAlignment="1">
      <alignment vertical="center"/>
    </xf>
    <xf numFmtId="0" fontId="48" fillId="0" borderId="37" xfId="2" applyFont="1" applyBorder="1" applyAlignment="1" applyProtection="1">
      <alignment vertical="center"/>
      <protection locked="0"/>
    </xf>
    <xf numFmtId="4" fontId="48" fillId="0" borderId="37" xfId="2" applyNumberFormat="1" applyFont="1" applyBorder="1" applyAlignment="1">
      <alignment vertical="center"/>
    </xf>
    <xf numFmtId="0" fontId="20" fillId="0" borderId="0" xfId="2" applyAlignment="1">
      <alignment horizontal="center" vertical="center" wrapText="1"/>
    </xf>
    <xf numFmtId="0" fontId="20" fillId="0" borderId="20" xfId="2" applyBorder="1" applyAlignment="1">
      <alignment horizontal="center" vertical="center" wrapText="1"/>
    </xf>
    <xf numFmtId="0" fontId="35" fillId="9" borderId="33" xfId="2" applyFont="1" applyFill="1" applyBorder="1" applyAlignment="1">
      <alignment horizontal="center" vertical="center" wrapText="1"/>
    </xf>
    <xf numFmtId="0" fontId="35" fillId="9" borderId="34" xfId="2" applyFont="1" applyFill="1" applyBorder="1" applyAlignment="1">
      <alignment horizontal="center" vertical="center" wrapText="1"/>
    </xf>
    <xf numFmtId="0" fontId="35" fillId="9" borderId="34" xfId="2" applyFont="1" applyFill="1" applyBorder="1" applyAlignment="1" applyProtection="1">
      <alignment horizontal="center" vertical="center" wrapText="1"/>
      <protection locked="0"/>
    </xf>
    <xf numFmtId="0" fontId="35" fillId="9" borderId="35" xfId="2" applyFont="1" applyFill="1" applyBorder="1" applyAlignment="1">
      <alignment horizontal="center" vertical="center" wrapText="1"/>
    </xf>
    <xf numFmtId="4" fontId="37" fillId="0" borderId="0" xfId="2" applyNumberFormat="1" applyFont="1"/>
    <xf numFmtId="169" fontId="49" fillId="0" borderId="29" xfId="2" applyNumberFormat="1" applyFont="1" applyBorder="1"/>
    <xf numFmtId="169" fontId="49" fillId="0" borderId="30" xfId="2" applyNumberFormat="1" applyFont="1" applyBorder="1"/>
    <xf numFmtId="4" fontId="50" fillId="0" borderId="0" xfId="2" applyNumberFormat="1" applyFont="1" applyAlignment="1">
      <alignment vertical="center"/>
    </xf>
    <xf numFmtId="0" fontId="51" fillId="0" borderId="0" xfId="2" applyFont="1"/>
    <xf numFmtId="0" fontId="51" fillId="0" borderId="20" xfId="2" applyFont="1" applyBorder="1"/>
    <xf numFmtId="0" fontId="51" fillId="0" borderId="0" xfId="2" applyFont="1" applyAlignment="1">
      <alignment horizontal="left"/>
    </xf>
    <xf numFmtId="0" fontId="47" fillId="0" borderId="0" xfId="2" applyFont="1" applyAlignment="1">
      <alignment horizontal="left"/>
    </xf>
    <xf numFmtId="0" fontId="51" fillId="0" borderId="0" xfId="2" applyFont="1" applyProtection="1">
      <protection locked="0"/>
    </xf>
    <xf numFmtId="4" fontId="47" fillId="0" borderId="0" xfId="2" applyNumberFormat="1" applyFont="1"/>
    <xf numFmtId="0" fontId="51" fillId="0" borderId="31" xfId="2" applyFont="1" applyBorder="1"/>
    <xf numFmtId="169" fontId="51" fillId="0" borderId="0" xfId="2" applyNumberFormat="1" applyFont="1"/>
    <xf numFmtId="169" fontId="51" fillId="0" borderId="32" xfId="2" applyNumberFormat="1" applyFont="1" applyBorder="1"/>
    <xf numFmtId="0" fontId="51" fillId="0" borderId="0" xfId="2" applyFont="1" applyAlignment="1">
      <alignment horizontal="center"/>
    </xf>
    <xf numFmtId="4" fontId="51" fillId="0" borderId="0" xfId="2" applyNumberFormat="1" applyFont="1" applyAlignment="1">
      <alignment vertical="center"/>
    </xf>
    <xf numFmtId="0" fontId="48" fillId="0" borderId="0" xfId="2" applyFont="1" applyAlignment="1">
      <alignment horizontal="left"/>
    </xf>
    <xf numFmtId="4" fontId="48" fillId="0" borderId="0" xfId="2" applyNumberFormat="1" applyFont="1"/>
    <xf numFmtId="0" fontId="35" fillId="0" borderId="39" xfId="2" applyFont="1" applyBorder="1" applyAlignment="1">
      <alignment horizontal="center" vertical="center"/>
    </xf>
    <xf numFmtId="49" fontId="35" fillId="0" borderId="39" xfId="2" applyNumberFormat="1" applyFont="1" applyBorder="1" applyAlignment="1">
      <alignment horizontal="left" vertical="center" wrapText="1"/>
    </xf>
    <xf numFmtId="0" fontId="35" fillId="0" borderId="39" xfId="2" applyFont="1" applyBorder="1" applyAlignment="1">
      <alignment horizontal="left" vertical="center" wrapText="1"/>
    </xf>
    <xf numFmtId="0" fontId="35" fillId="0" borderId="39" xfId="2" applyFont="1" applyBorder="1" applyAlignment="1">
      <alignment horizontal="center" vertical="center" wrapText="1"/>
    </xf>
    <xf numFmtId="166" fontId="35" fillId="0" borderId="39" xfId="2" applyNumberFormat="1" applyFont="1" applyBorder="1" applyAlignment="1">
      <alignment vertical="center"/>
    </xf>
    <xf numFmtId="4" fontId="35" fillId="4" borderId="39" xfId="2" applyNumberFormat="1" applyFont="1" applyFill="1" applyBorder="1" applyAlignment="1" applyProtection="1">
      <alignment vertical="center"/>
      <protection locked="0"/>
    </xf>
    <xf numFmtId="4" fontId="35" fillId="0" borderId="39" xfId="2" applyNumberFormat="1" applyFont="1" applyBorder="1" applyAlignment="1">
      <alignment vertical="center"/>
    </xf>
    <xf numFmtId="0" fontId="36" fillId="4" borderId="31" xfId="2" applyFont="1" applyFill="1" applyBorder="1" applyAlignment="1" applyProtection="1">
      <alignment horizontal="left" vertical="center"/>
      <protection locked="0"/>
    </xf>
    <xf numFmtId="0" fontId="36" fillId="0" borderId="0" xfId="2" applyFont="1" applyAlignment="1">
      <alignment horizontal="center" vertical="center"/>
    </xf>
    <xf numFmtId="169" fontId="36" fillId="0" borderId="0" xfId="2" applyNumberFormat="1" applyFont="1" applyAlignment="1">
      <alignment vertical="center"/>
    </xf>
    <xf numFmtId="169" fontId="36" fillId="0" borderId="32" xfId="2" applyNumberFormat="1" applyFont="1" applyBorder="1" applyAlignment="1">
      <alignment vertical="center"/>
    </xf>
    <xf numFmtId="0" fontId="35" fillId="0" borderId="0" xfId="2" applyFont="1" applyAlignment="1">
      <alignment horizontal="left" vertical="center"/>
    </xf>
    <xf numFmtId="4" fontId="20" fillId="0" borderId="0" xfId="2" applyNumberFormat="1" applyAlignment="1">
      <alignment vertical="center"/>
    </xf>
    <xf numFmtId="0" fontId="52" fillId="0" borderId="0" xfId="2" applyFont="1" applyAlignment="1">
      <alignment horizontal="left" vertical="center"/>
    </xf>
    <xf numFmtId="0" fontId="53" fillId="0" borderId="0" xfId="2" applyFont="1" applyAlignment="1">
      <alignment horizontal="left" vertical="center" wrapText="1"/>
    </xf>
    <xf numFmtId="0" fontId="20" fillId="0" borderId="31" xfId="2" applyBorder="1" applyAlignment="1">
      <alignment vertical="center"/>
    </xf>
    <xf numFmtId="0" fontId="54" fillId="0" borderId="39" xfId="2" applyFont="1" applyBorder="1" applyAlignment="1">
      <alignment horizontal="center" vertical="center"/>
    </xf>
    <xf numFmtId="49" fontId="54" fillId="0" borderId="39" xfId="2" applyNumberFormat="1" applyFont="1" applyBorder="1" applyAlignment="1">
      <alignment horizontal="left" vertical="center" wrapText="1"/>
    </xf>
    <xf numFmtId="0" fontId="54" fillId="0" borderId="39" xfId="2" applyFont="1" applyBorder="1" applyAlignment="1">
      <alignment horizontal="left" vertical="center" wrapText="1"/>
    </xf>
    <xf numFmtId="0" fontId="54" fillId="0" borderId="39" xfId="2" applyFont="1" applyBorder="1" applyAlignment="1">
      <alignment horizontal="center" vertical="center" wrapText="1"/>
    </xf>
    <xf numFmtId="166" fontId="54" fillId="0" borderId="39" xfId="2" applyNumberFormat="1" applyFont="1" applyBorder="1" applyAlignment="1">
      <alignment vertical="center"/>
    </xf>
    <xf numFmtId="4" fontId="54" fillId="4" borderId="39" xfId="2" applyNumberFormat="1" applyFont="1" applyFill="1" applyBorder="1" applyAlignment="1" applyProtection="1">
      <alignment vertical="center"/>
      <protection locked="0"/>
    </xf>
    <xf numFmtId="4" fontId="54" fillId="0" borderId="39" xfId="2" applyNumberFormat="1" applyFont="1" applyBorder="1" applyAlignment="1">
      <alignment vertical="center"/>
    </xf>
    <xf numFmtId="0" fontId="55" fillId="0" borderId="20" xfId="2" applyFont="1" applyBorder="1" applyAlignment="1">
      <alignment vertical="center"/>
    </xf>
    <xf numFmtId="0" fontId="54" fillId="4" borderId="31" xfId="2" applyFont="1" applyFill="1" applyBorder="1" applyAlignment="1" applyProtection="1">
      <alignment horizontal="left" vertical="center"/>
      <protection locked="0"/>
    </xf>
    <xf numFmtId="0" fontId="54" fillId="0" borderId="0" xfId="2" applyFont="1" applyAlignment="1">
      <alignment horizontal="center" vertical="center"/>
    </xf>
    <xf numFmtId="0" fontId="56" fillId="0" borderId="0" xfId="2" applyFont="1" applyAlignment="1">
      <alignment vertical="center"/>
    </xf>
    <xf numFmtId="0" fontId="56" fillId="0" borderId="20" xfId="2" applyFont="1" applyBorder="1" applyAlignment="1">
      <alignment vertical="center"/>
    </xf>
    <xf numFmtId="0" fontId="56" fillId="0" borderId="0" xfId="2" applyFont="1" applyAlignment="1">
      <alignment horizontal="left" vertical="center"/>
    </xf>
    <xf numFmtId="0" fontId="56" fillId="0" borderId="0" xfId="2" applyFont="1" applyAlignment="1">
      <alignment horizontal="left" vertical="center" wrapText="1"/>
    </xf>
    <xf numFmtId="166" fontId="56" fillId="0" borderId="0" xfId="2" applyNumberFormat="1" applyFont="1" applyAlignment="1">
      <alignment vertical="center"/>
    </xf>
    <xf numFmtId="0" fontId="56" fillId="0" borderId="0" xfId="2" applyFont="1" applyAlignment="1" applyProtection="1">
      <alignment vertical="center"/>
      <protection locked="0"/>
    </xf>
    <xf numFmtId="0" fontId="56" fillId="0" borderId="31" xfId="2" applyFont="1" applyBorder="1" applyAlignment="1">
      <alignment vertical="center"/>
    </xf>
    <xf numFmtId="0" fontId="56" fillId="0" borderId="32" xfId="2" applyFont="1" applyBorder="1" applyAlignment="1">
      <alignment vertical="center"/>
    </xf>
    <xf numFmtId="0" fontId="20" fillId="0" borderId="36" xfId="2" applyBorder="1" applyAlignment="1">
      <alignment vertical="center"/>
    </xf>
    <xf numFmtId="0" fontId="20" fillId="0" borderId="37" xfId="2" applyBorder="1" applyAlignment="1">
      <alignment vertical="center"/>
    </xf>
    <xf numFmtId="0" fontId="20" fillId="0" borderId="38" xfId="2" applyBorder="1" applyAlignment="1">
      <alignment vertical="center"/>
    </xf>
    <xf numFmtId="164" fontId="1" fillId="10" borderId="0" xfId="0" applyNumberFormat="1" applyFont="1" applyFill="1" applyAlignment="1" applyProtection="1">
      <alignment horizontal="right"/>
      <protection locked="0"/>
    </xf>
    <xf numFmtId="0" fontId="3" fillId="2" borderId="6" xfId="0" applyFont="1" applyFill="1" applyBorder="1" applyAlignment="1" applyProtection="1">
      <alignment horizontal="center" wrapText="1"/>
    </xf>
    <xf numFmtId="0" fontId="0" fillId="2" borderId="7" xfId="0" applyFill="1" applyBorder="1" applyProtection="1"/>
    <xf numFmtId="0" fontId="3" fillId="2" borderId="6" xfId="0" applyFont="1" applyFill="1" applyBorder="1" applyAlignment="1" applyProtection="1">
      <alignment horizontal="center" shrinkToFit="1"/>
    </xf>
    <xf numFmtId="0" fontId="6" fillId="2" borderId="9" xfId="0" applyFont="1" applyFill="1" applyBorder="1" applyAlignment="1" applyProtection="1">
      <alignment horizontal="left" indent="1"/>
    </xf>
    <xf numFmtId="0" fontId="0" fillId="2" borderId="0" xfId="0" applyFill="1" applyProtection="1"/>
    <xf numFmtId="0" fontId="2" fillId="2" borderId="9" xfId="0" applyFont="1" applyFill="1" applyBorder="1" applyAlignment="1" applyProtection="1">
      <alignment horizontal="left" indent="3"/>
    </xf>
    <xf numFmtId="0" fontId="5" fillId="2" borderId="0" xfId="0" applyFont="1" applyFill="1" applyProtection="1"/>
    <xf numFmtId="0" fontId="4" fillId="2" borderId="0" xfId="0" applyFont="1" applyFill="1" applyAlignment="1" applyProtection="1">
      <alignment shrinkToFit="1"/>
    </xf>
    <xf numFmtId="0" fontId="9" fillId="2" borderId="0" xfId="0" applyFont="1" applyFill="1" applyAlignment="1" applyProtection="1">
      <alignment horizontal="left" vertical="center"/>
    </xf>
    <xf numFmtId="0" fontId="8" fillId="2" borderId="1" xfId="0" applyFont="1" applyFill="1" applyBorder="1" applyAlignment="1" applyProtection="1">
      <alignment horizontal="center" vertical="center"/>
    </xf>
    <xf numFmtId="0" fontId="0" fillId="2" borderId="1" xfId="0" applyFill="1" applyBorder="1" applyProtection="1"/>
    <xf numFmtId="0" fontId="8" fillId="2" borderId="0" xfId="0" applyFont="1" applyFill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center"/>
    </xf>
    <xf numFmtId="0" fontId="1" fillId="2" borderId="0" xfId="0" applyFont="1" applyFill="1" applyAlignment="1" applyProtection="1">
      <alignment wrapText="1"/>
    </xf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horizontal="left"/>
    </xf>
    <xf numFmtId="0" fontId="7" fillId="2" borderId="0" xfId="0" applyFont="1" applyFill="1" applyAlignment="1" applyProtection="1">
      <alignment horizontal="center"/>
    </xf>
    <xf numFmtId="0" fontId="3" fillId="2" borderId="0" xfId="0" applyFont="1" applyFill="1" applyAlignment="1" applyProtection="1">
      <alignment horizontal="center" wrapText="1" shrinkToFit="1"/>
    </xf>
    <xf numFmtId="0" fontId="0" fillId="2" borderId="6" xfId="0" applyFill="1" applyBorder="1" applyProtection="1"/>
    <xf numFmtId="0" fontId="2" fillId="2" borderId="14" xfId="0" applyFont="1" applyFill="1" applyBorder="1" applyAlignment="1" applyProtection="1">
      <alignment horizontal="left"/>
    </xf>
    <xf numFmtId="0" fontId="2" fillId="2" borderId="14" xfId="0" applyFont="1" applyFill="1" applyBorder="1" applyAlignment="1" applyProtection="1">
      <alignment horizontal="center"/>
    </xf>
    <xf numFmtId="0" fontId="3" fillId="2" borderId="6" xfId="0" applyFont="1" applyFill="1" applyBorder="1" applyAlignment="1" applyProtection="1">
      <alignment horizontal="center" wrapText="1" shrinkToFit="1"/>
    </xf>
    <xf numFmtId="0" fontId="1" fillId="2" borderId="0" xfId="0" applyFont="1" applyFill="1" applyAlignment="1" applyProtection="1">
      <alignment horizontal="left" indent="1"/>
    </xf>
    <xf numFmtId="0" fontId="2" fillId="2" borderId="0" xfId="0" applyFont="1" applyFill="1" applyAlignment="1" applyProtection="1">
      <alignment horizontal="right"/>
    </xf>
    <xf numFmtId="0" fontId="6" fillId="2" borderId="0" xfId="0" applyFont="1" applyFill="1" applyAlignment="1" applyProtection="1">
      <alignment horizontal="left" indent="1"/>
    </xf>
    <xf numFmtId="0" fontId="4" fillId="2" borderId="0" xfId="0" applyFont="1" applyFill="1" applyProtection="1"/>
    <xf numFmtId="0" fontId="42" fillId="0" borderId="0" xfId="2" applyFont="1" applyAlignment="1">
      <alignment horizontal="left" vertical="center" wrapText="1"/>
    </xf>
    <xf numFmtId="4" fontId="43" fillId="0" borderId="0" xfId="2" applyNumberFormat="1" applyFont="1" applyAlignment="1">
      <alignment vertical="center"/>
    </xf>
    <xf numFmtId="0" fontId="43" fillId="0" borderId="0" xfId="2" applyFont="1" applyAlignment="1">
      <alignment vertical="center"/>
    </xf>
    <xf numFmtId="4" fontId="37" fillId="0" borderId="0" xfId="2" applyNumberFormat="1" applyFont="1" applyAlignment="1">
      <alignment horizontal="right" vertical="center"/>
    </xf>
    <xf numFmtId="4" fontId="37" fillId="0" borderId="0" xfId="2" applyNumberFormat="1" applyFont="1" applyAlignment="1">
      <alignment vertical="center"/>
    </xf>
    <xf numFmtId="168" fontId="26" fillId="0" borderId="0" xfId="2" applyNumberFormat="1" applyFont="1" applyAlignment="1">
      <alignment horizontal="left" vertical="center"/>
    </xf>
    <xf numFmtId="0" fontId="26" fillId="0" borderId="0" xfId="2" applyFont="1" applyAlignment="1">
      <alignment vertical="center" wrapText="1"/>
    </xf>
    <xf numFmtId="0" fontId="26" fillId="0" borderId="0" xfId="2" applyFont="1" applyAlignment="1">
      <alignment vertical="center"/>
    </xf>
    <xf numFmtId="0" fontId="33" fillId="0" borderId="28" xfId="2" applyFont="1" applyBorder="1" applyAlignment="1">
      <alignment horizontal="center" vertical="center"/>
    </xf>
    <xf numFmtId="0" fontId="33" fillId="0" borderId="29" xfId="2" applyFont="1" applyBorder="1" applyAlignment="1">
      <alignment horizontal="left" vertical="center"/>
    </xf>
    <xf numFmtId="0" fontId="34" fillId="0" borderId="31" xfId="2" applyFont="1" applyBorder="1" applyAlignment="1">
      <alignment horizontal="left" vertical="center"/>
    </xf>
    <xf numFmtId="0" fontId="34" fillId="0" borderId="0" xfId="2" applyFont="1" applyAlignment="1">
      <alignment horizontal="left" vertical="center"/>
    </xf>
    <xf numFmtId="0" fontId="35" fillId="9" borderId="23" xfId="2" applyFont="1" applyFill="1" applyBorder="1" applyAlignment="1">
      <alignment horizontal="center" vertical="center"/>
    </xf>
    <xf numFmtId="0" fontId="35" fillId="9" borderId="24" xfId="2" applyFont="1" applyFill="1" applyBorder="1" applyAlignment="1">
      <alignment horizontal="left" vertical="center"/>
    </xf>
    <xf numFmtId="0" fontId="35" fillId="9" borderId="24" xfId="2" applyFont="1" applyFill="1" applyBorder="1" applyAlignment="1">
      <alignment horizontal="center" vertical="center"/>
    </xf>
    <xf numFmtId="0" fontId="35" fillId="9" borderId="24" xfId="2" applyFont="1" applyFill="1" applyBorder="1" applyAlignment="1">
      <alignment horizontal="right" vertical="center"/>
    </xf>
    <xf numFmtId="0" fontId="35" fillId="9" borderId="25" xfId="2" applyFont="1" applyFill="1" applyBorder="1" applyAlignment="1">
      <alignment horizontal="left" vertical="center"/>
    </xf>
    <xf numFmtId="0" fontId="28" fillId="0" borderId="0" xfId="2" applyFont="1" applyAlignment="1">
      <alignment horizontal="left" vertical="center" wrapText="1"/>
    </xf>
    <xf numFmtId="0" fontId="28" fillId="0" borderId="0" xfId="2" applyFont="1" applyAlignment="1">
      <alignment vertical="center"/>
    </xf>
    <xf numFmtId="167" fontId="25" fillId="0" borderId="0" xfId="2" applyNumberFormat="1" applyFont="1" applyAlignment="1">
      <alignment horizontal="left" vertical="center"/>
    </xf>
    <xf numFmtId="0" fontId="25" fillId="0" borderId="0" xfId="2" applyFont="1" applyAlignment="1">
      <alignment vertical="center"/>
    </xf>
    <xf numFmtId="4" fontId="30" fillId="0" borderId="0" xfId="2" applyNumberFormat="1" applyFont="1" applyAlignment="1">
      <alignment vertical="center"/>
    </xf>
    <xf numFmtId="0" fontId="31" fillId="8" borderId="24" xfId="2" applyFont="1" applyFill="1" applyBorder="1" applyAlignment="1">
      <alignment horizontal="left" vertical="center"/>
    </xf>
    <xf numFmtId="0" fontId="20" fillId="8" borderId="24" xfId="2" applyFill="1" applyBorder="1" applyAlignment="1">
      <alignment vertical="center"/>
    </xf>
    <xf numFmtId="4" fontId="31" fillId="8" borderId="24" xfId="2" applyNumberFormat="1" applyFont="1" applyFill="1" applyBorder="1" applyAlignment="1">
      <alignment vertical="center"/>
    </xf>
    <xf numFmtId="0" fontId="20" fillId="8" borderId="25" xfId="2" applyFill="1" applyBorder="1" applyAlignment="1">
      <alignment vertical="center"/>
    </xf>
    <xf numFmtId="0" fontId="20" fillId="0" borderId="0" xfId="2"/>
    <xf numFmtId="0" fontId="26" fillId="0" borderId="0" xfId="2" applyFont="1" applyAlignment="1">
      <alignment horizontal="left" vertical="center"/>
    </xf>
    <xf numFmtId="0" fontId="27" fillId="0" borderId="0" xfId="2" applyFont="1" applyAlignment="1">
      <alignment horizontal="left" vertical="top" wrapText="1"/>
    </xf>
    <xf numFmtId="0" fontId="27" fillId="0" borderId="0" xfId="2" applyFont="1" applyAlignment="1">
      <alignment horizontal="left" vertical="center"/>
    </xf>
    <xf numFmtId="0" fontId="30" fillId="0" borderId="0" xfId="2" applyFont="1" applyAlignment="1">
      <alignment horizontal="left" vertical="center"/>
    </xf>
    <xf numFmtId="0" fontId="28" fillId="0" borderId="0" xfId="2" applyFont="1" applyAlignment="1">
      <alignment horizontal="left" vertical="top" wrapText="1"/>
    </xf>
    <xf numFmtId="49" fontId="26" fillId="4" borderId="0" xfId="2" applyNumberFormat="1" applyFont="1" applyFill="1" applyAlignment="1" applyProtection="1">
      <alignment horizontal="left" vertical="center"/>
      <protection locked="0"/>
    </xf>
    <xf numFmtId="49" fontId="26" fillId="0" borderId="0" xfId="2" applyNumberFormat="1" applyFont="1" applyAlignment="1">
      <alignment horizontal="left" vertical="center"/>
    </xf>
    <xf numFmtId="0" fontId="26" fillId="0" borderId="0" xfId="2" applyFont="1" applyAlignment="1">
      <alignment horizontal="left" vertical="center" wrapText="1"/>
    </xf>
    <xf numFmtId="4" fontId="29" fillId="0" borderId="22" xfId="2" applyNumberFormat="1" applyFont="1" applyBorder="1" applyAlignment="1">
      <alignment vertical="center"/>
    </xf>
    <xf numFmtId="0" fontId="20" fillId="0" borderId="22" xfId="2" applyBorder="1" applyAlignment="1">
      <alignment vertical="center"/>
    </xf>
    <xf numFmtId="0" fontId="25" fillId="0" borderId="0" xfId="2" applyFont="1" applyAlignment="1">
      <alignment horizontal="right" vertical="center"/>
    </xf>
    <xf numFmtId="0" fontId="20" fillId="0" borderId="0" xfId="2" applyAlignment="1">
      <alignment vertical="center"/>
    </xf>
    <xf numFmtId="0" fontId="25" fillId="0" borderId="0" xfId="2" applyFont="1" applyAlignment="1">
      <alignment horizontal="left" vertical="center" wrapText="1"/>
    </xf>
    <xf numFmtId="0" fontId="25" fillId="0" borderId="0" xfId="2" applyFont="1" applyAlignment="1">
      <alignment horizontal="left" vertical="center"/>
    </xf>
    <xf numFmtId="0" fontId="26" fillId="4" borderId="0" xfId="2" applyFont="1" applyFill="1" applyAlignment="1" applyProtection="1">
      <alignment horizontal="left" vertical="center"/>
      <protection locked="0"/>
    </xf>
  </cellXfs>
  <cellStyles count="4">
    <cellStyle name="Hypertextový odkaz 2" xfId="3" xr:uid="{6613D2E7-CB7A-4AF9-BA06-93251EE3BCC2}"/>
    <cellStyle name="Normální" xfId="0" builtinId="0"/>
    <cellStyle name="Normální 2" xfId="1" xr:uid="{DF5B6CF9-D7D3-4A1C-AF07-3D656AF7DDB2}"/>
    <cellStyle name="Normální 3" xfId="2" xr:uid="{819FBBF4-AD67-4611-8BD0-218B744ABB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392F361B-3A6F-4584-BA99-10876FE8FA4C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DD613AF5-C6DC-45BF-971B-D50FE6F2F35C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BD869E65-1F88-4659-B829-7BF6EA0EA6C7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B775CB5C-555B-43A7-8C42-D987C94DA2F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63E4A646-B194-4913-9DFA-147D0CB9F3C8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8"/>
  <sheetViews>
    <sheetView tabSelected="1" workbookViewId="0">
      <pane ySplit="19" topLeftCell="A20" activePane="bottomLeft" state="frozen"/>
      <selection pane="bottomLeft" sqref="A1:A2"/>
    </sheetView>
  </sheetViews>
  <sheetFormatPr defaultRowHeight="12.75"/>
  <cols>
    <col min="1" max="1" width="4.7109375"/>
    <col min="2" max="2" width="21.7109375"/>
    <col min="3" max="3" width="140.7109375"/>
    <col min="4" max="6" width="17.7109375"/>
    <col min="7" max="7" width="4.7109375"/>
    <col min="19" max="19" width="0" hidden="1"/>
  </cols>
  <sheetData>
    <row r="1" spans="1:9">
      <c r="A1" s="276"/>
      <c r="B1" s="3"/>
      <c r="C1" s="280" t="s">
        <v>0</v>
      </c>
      <c r="D1" s="3"/>
      <c r="E1" s="3"/>
      <c r="F1" s="3"/>
      <c r="G1" s="3"/>
      <c r="H1" s="4"/>
      <c r="I1" s="4"/>
    </row>
    <row r="2" spans="1:9">
      <c r="A2" s="276"/>
      <c r="B2" s="3"/>
      <c r="C2" s="276"/>
      <c r="D2" s="3"/>
      <c r="E2" s="3"/>
      <c r="F2" s="3"/>
      <c r="G2" s="3"/>
      <c r="H2" s="4"/>
      <c r="I2" s="4"/>
    </row>
    <row r="3" spans="1:9" ht="24" customHeight="1">
      <c r="A3" s="278" t="s">
        <v>496</v>
      </c>
      <c r="B3" s="276"/>
      <c r="C3" s="276"/>
      <c r="D3" s="276"/>
      <c r="E3" s="276"/>
      <c r="F3" s="276"/>
      <c r="G3" s="3"/>
      <c r="H3" s="4"/>
      <c r="I3" s="4"/>
    </row>
    <row r="4" spans="1:9" ht="6" customHeight="1">
      <c r="A4" s="5"/>
      <c r="B4" s="274" t="s">
        <v>2</v>
      </c>
      <c r="C4" s="5"/>
      <c r="D4" s="5"/>
      <c r="E4" s="5"/>
      <c r="F4" s="5"/>
      <c r="G4" s="5"/>
      <c r="H4" s="4"/>
      <c r="I4" s="4"/>
    </row>
    <row r="5" spans="1:9" ht="6" customHeight="1">
      <c r="A5" s="6"/>
      <c r="B5" s="273"/>
      <c r="C5" s="7"/>
      <c r="D5" s="7"/>
      <c r="E5" s="7"/>
      <c r="F5" s="7"/>
      <c r="G5" s="8"/>
      <c r="H5" s="4"/>
      <c r="I5" s="4"/>
    </row>
    <row r="6" spans="1:9" ht="33.950000000000003" customHeight="1">
      <c r="A6" s="9"/>
      <c r="B6" s="279" t="s">
        <v>3</v>
      </c>
      <c r="C6" s="276"/>
      <c r="D6" s="276"/>
      <c r="E6" s="276"/>
      <c r="F6" s="47" t="s">
        <v>25</v>
      </c>
      <c r="G6" s="10"/>
      <c r="H6" s="4"/>
      <c r="I6" s="4"/>
    </row>
    <row r="7" spans="1:9">
      <c r="A7" s="11"/>
      <c r="B7" s="5"/>
      <c r="C7" s="5"/>
      <c r="D7" s="5"/>
      <c r="E7" s="5"/>
      <c r="F7" s="5"/>
      <c r="G7" s="12"/>
      <c r="H7" s="4"/>
      <c r="I7" s="4"/>
    </row>
    <row r="8" spans="1:9" ht="14.1" customHeight="1">
      <c r="A8" s="5"/>
      <c r="B8" s="274" t="s">
        <v>4</v>
      </c>
      <c r="C8" s="5"/>
      <c r="D8" s="5"/>
      <c r="E8" s="5"/>
      <c r="F8" s="5"/>
      <c r="G8" s="5"/>
      <c r="H8" s="4"/>
      <c r="I8" s="4"/>
    </row>
    <row r="9" spans="1:9" ht="6" customHeight="1">
      <c r="A9" s="6"/>
      <c r="B9" s="273"/>
      <c r="C9" s="7"/>
      <c r="D9" s="7"/>
      <c r="E9" s="7"/>
      <c r="F9" s="7"/>
      <c r="G9" s="8"/>
      <c r="H9" s="4"/>
      <c r="I9" s="4"/>
    </row>
    <row r="10" spans="1:9">
      <c r="A10" s="275" t="s">
        <v>497</v>
      </c>
      <c r="B10" s="276"/>
      <c r="C10" s="13"/>
      <c r="D10" s="3"/>
      <c r="E10" s="3"/>
      <c r="F10" s="14" t="s">
        <v>498</v>
      </c>
      <c r="G10" s="10"/>
      <c r="H10" s="4"/>
      <c r="I10" s="4"/>
    </row>
    <row r="11" spans="1:9" ht="15.95" customHeight="1">
      <c r="A11" s="277"/>
      <c r="B11" s="276"/>
      <c r="C11" s="276"/>
      <c r="D11" s="276"/>
      <c r="E11" s="3"/>
      <c r="F11" s="48">
        <f>SUM(D20:D37)</f>
        <v>0</v>
      </c>
      <c r="G11" s="10"/>
      <c r="H11" s="4"/>
      <c r="I11" s="4"/>
    </row>
    <row r="12" spans="1:9">
      <c r="A12" s="275" t="s">
        <v>7</v>
      </c>
      <c r="B12" s="276"/>
      <c r="C12" s="13"/>
      <c r="D12" s="3"/>
      <c r="E12" s="14"/>
      <c r="F12" s="14" t="s">
        <v>499</v>
      </c>
      <c r="G12" s="10"/>
      <c r="H12" s="4"/>
      <c r="I12" s="4"/>
    </row>
    <row r="13" spans="1:9" ht="15.95" customHeight="1">
      <c r="A13" s="277"/>
      <c r="B13" s="276"/>
      <c r="C13" s="276"/>
      <c r="D13" s="48" t="s">
        <v>8</v>
      </c>
      <c r="E13" s="13"/>
      <c r="F13" s="48">
        <f>ROUND(SUM(S20:S37),2)</f>
        <v>0</v>
      </c>
      <c r="G13" s="10"/>
      <c r="H13" s="4"/>
      <c r="I13" s="4"/>
    </row>
    <row r="14" spans="1:9">
      <c r="A14" s="9"/>
      <c r="B14" s="3"/>
      <c r="C14" s="3"/>
      <c r="D14" s="48" t="s">
        <v>9</v>
      </c>
      <c r="E14" s="13"/>
      <c r="F14" s="3"/>
      <c r="G14" s="10"/>
      <c r="H14" s="4"/>
      <c r="I14" s="4"/>
    </row>
    <row r="15" spans="1:9" hidden="1">
      <c r="A15" s="9"/>
      <c r="B15" s="3"/>
      <c r="C15" s="3"/>
      <c r="D15" s="3"/>
      <c r="E15" s="3"/>
      <c r="F15" s="3"/>
      <c r="G15" s="10"/>
      <c r="H15" s="4"/>
      <c r="I15" s="4"/>
    </row>
    <row r="16" spans="1:9" ht="9.9499999999999993" customHeight="1">
      <c r="A16" s="11"/>
      <c r="B16" s="5"/>
      <c r="C16" s="5"/>
      <c r="D16" s="5"/>
      <c r="E16" s="5"/>
      <c r="F16" s="5"/>
      <c r="G16" s="12"/>
      <c r="H16" s="4"/>
      <c r="I16" s="4"/>
    </row>
    <row r="17" spans="1:19" ht="14.1" customHeight="1">
      <c r="A17" s="5"/>
      <c r="B17" s="272" t="s">
        <v>500</v>
      </c>
      <c r="C17" s="5"/>
      <c r="D17" s="5"/>
      <c r="E17" s="5"/>
      <c r="F17" s="5"/>
      <c r="G17" s="5"/>
      <c r="H17" s="4"/>
      <c r="I17" s="4"/>
    </row>
    <row r="18" spans="1:19" ht="18" customHeight="1">
      <c r="A18" s="6"/>
      <c r="B18" s="273"/>
      <c r="C18" s="7"/>
      <c r="D18" s="7"/>
      <c r="E18" s="7"/>
      <c r="F18" s="7"/>
      <c r="G18" s="8"/>
      <c r="H18" s="4"/>
      <c r="I18" s="4"/>
    </row>
    <row r="19" spans="1:19" ht="18" customHeight="1">
      <c r="A19" s="9"/>
      <c r="B19" s="49" t="s">
        <v>501</v>
      </c>
      <c r="C19" s="49" t="s">
        <v>502</v>
      </c>
      <c r="D19" s="19" t="s">
        <v>13</v>
      </c>
      <c r="E19" s="19" t="s">
        <v>21</v>
      </c>
      <c r="F19" s="19" t="s">
        <v>14</v>
      </c>
      <c r="G19" s="10"/>
      <c r="H19" s="4"/>
      <c r="I19" s="4"/>
    </row>
    <row r="20" spans="1:19">
      <c r="A20" s="9"/>
      <c r="B20" s="50" t="s">
        <v>503</v>
      </c>
      <c r="C20" s="50" t="s">
        <v>504</v>
      </c>
      <c r="D20" s="51">
        <f>'0 - SO010UN'!I10</f>
        <v>0</v>
      </c>
      <c r="E20" s="52">
        <f>'0 - SO010UN'!R11</f>
        <v>0.21</v>
      </c>
      <c r="F20" s="51">
        <f>('0 - SO010UN'!I11)</f>
        <v>0</v>
      </c>
      <c r="G20" s="10"/>
      <c r="H20" s="4"/>
      <c r="I20" s="4"/>
      <c r="S20" s="1">
        <f>ROUND('0 - SO010UN'!S11,4)</f>
        <v>0</v>
      </c>
    </row>
    <row r="21" spans="1:19">
      <c r="A21" s="9"/>
      <c r="B21" s="50" t="s">
        <v>505</v>
      </c>
      <c r="C21" s="50" t="s">
        <v>506</v>
      </c>
      <c r="D21" s="51">
        <f>'1 - SO151NN'!I10</f>
        <v>0</v>
      </c>
      <c r="E21" s="52">
        <f>'1 - SO151NN'!R11</f>
        <v>0.21</v>
      </c>
      <c r="F21" s="51">
        <f>('1 - SO151NN'!I11)</f>
        <v>0</v>
      </c>
      <c r="G21" s="10"/>
      <c r="H21" s="4"/>
      <c r="I21" s="4"/>
      <c r="S21" s="1">
        <f>ROUND('1 - SO151NN'!S11,4)</f>
        <v>0</v>
      </c>
    </row>
    <row r="22" spans="1:19">
      <c r="A22" s="9"/>
      <c r="B22" s="50" t="s">
        <v>507</v>
      </c>
      <c r="C22" s="50" t="s">
        <v>506</v>
      </c>
      <c r="D22" s="51">
        <f>'2 - SO151UN'!I10</f>
        <v>0</v>
      </c>
      <c r="E22" s="52">
        <f>'2 - SO151UN'!R11</f>
        <v>0.21</v>
      </c>
      <c r="F22" s="51">
        <f>('2 - SO151UN'!I11)</f>
        <v>0</v>
      </c>
      <c r="G22" s="10"/>
      <c r="H22" s="4"/>
      <c r="I22" s="4"/>
      <c r="S22" s="1">
        <f>ROUND('2 - SO151UN'!S11,4)</f>
        <v>0</v>
      </c>
    </row>
    <row r="23" spans="1:19">
      <c r="A23" s="9"/>
      <c r="B23" s="50" t="s">
        <v>508</v>
      </c>
      <c r="C23" s="50" t="s">
        <v>509</v>
      </c>
      <c r="D23" s="51">
        <f>'3 - SO152NN'!I10</f>
        <v>0</v>
      </c>
      <c r="E23" s="52">
        <f>'3 - SO152NN'!R11</f>
        <v>0.21</v>
      </c>
      <c r="F23" s="51">
        <f>('3 - SO152NN'!I11)</f>
        <v>0</v>
      </c>
      <c r="G23" s="10"/>
      <c r="H23" s="4"/>
      <c r="I23" s="4"/>
      <c r="S23" s="1">
        <f>ROUND('3 - SO152NN'!S11,4)</f>
        <v>0</v>
      </c>
    </row>
    <row r="24" spans="1:19">
      <c r="A24" s="9"/>
      <c r="B24" s="50" t="s">
        <v>510</v>
      </c>
      <c r="C24" s="50" t="s">
        <v>509</v>
      </c>
      <c r="D24" s="51">
        <f>'4 - SO152UN'!I10</f>
        <v>0</v>
      </c>
      <c r="E24" s="52">
        <f>'4 - SO152UN'!R11</f>
        <v>0.21</v>
      </c>
      <c r="F24" s="51">
        <f>('4 - SO152UN'!I11)</f>
        <v>0</v>
      </c>
      <c r="G24" s="10"/>
      <c r="H24" s="4"/>
      <c r="I24" s="4"/>
      <c r="S24" s="1">
        <f>ROUND('4 - SO152UN'!S11,4)</f>
        <v>0</v>
      </c>
    </row>
    <row r="25" spans="1:19">
      <c r="A25" s="9"/>
      <c r="B25" s="50" t="s">
        <v>511</v>
      </c>
      <c r="C25" s="50" t="s">
        <v>512</v>
      </c>
      <c r="D25" s="51">
        <f>'5 - SO153NN'!I10</f>
        <v>0</v>
      </c>
      <c r="E25" s="52">
        <f>'5 - SO153NN'!R11</f>
        <v>0.21</v>
      </c>
      <c r="F25" s="51">
        <f>('5 - SO153NN'!I11)</f>
        <v>0</v>
      </c>
      <c r="G25" s="10"/>
      <c r="H25" s="4"/>
      <c r="I25" s="4"/>
      <c r="S25" s="1">
        <f>ROUND('5 - SO153NN'!S11,4)</f>
        <v>0</v>
      </c>
    </row>
    <row r="26" spans="1:19">
      <c r="A26" s="9"/>
      <c r="B26" s="50" t="s">
        <v>513</v>
      </c>
      <c r="C26" s="50" t="s">
        <v>514</v>
      </c>
      <c r="D26" s="51">
        <f>'6 - SO153UN'!I10</f>
        <v>0</v>
      </c>
      <c r="E26" s="52">
        <f>'6 - SO153UN'!R11</f>
        <v>0.21</v>
      </c>
      <c r="F26" s="51">
        <f>('6 - SO153UN'!I11)</f>
        <v>0</v>
      </c>
      <c r="G26" s="10"/>
      <c r="H26" s="4"/>
      <c r="I26" s="4"/>
      <c r="S26" s="1">
        <f>ROUND('6 - SO153UN'!S11,4)</f>
        <v>0</v>
      </c>
    </row>
    <row r="27" spans="1:19">
      <c r="A27" s="9"/>
      <c r="B27" s="50" t="s">
        <v>515</v>
      </c>
      <c r="C27" s="50" t="s">
        <v>516</v>
      </c>
      <c r="D27" s="51">
        <f>'7 - SO201NN'!I10</f>
        <v>0</v>
      </c>
      <c r="E27" s="52">
        <f>'7 - SO201NN'!R11</f>
        <v>0.21</v>
      </c>
      <c r="F27" s="51">
        <f>('7 - SO201NN'!I11)</f>
        <v>0</v>
      </c>
      <c r="G27" s="10"/>
      <c r="H27" s="4"/>
      <c r="I27" s="4"/>
      <c r="S27" s="1">
        <f>ROUND('7 - SO201NN'!S11,4)</f>
        <v>0</v>
      </c>
    </row>
    <row r="28" spans="1:19">
      <c r="A28" s="9"/>
      <c r="B28" s="50" t="s">
        <v>517</v>
      </c>
      <c r="C28" s="50" t="s">
        <v>516</v>
      </c>
      <c r="D28" s="51">
        <f>'8 - SO201UN'!I10</f>
        <v>0</v>
      </c>
      <c r="E28" s="52">
        <f>'8 - SO201UN'!R11</f>
        <v>0.21</v>
      </c>
      <c r="F28" s="51">
        <f>('8 - SO201UN'!I11)</f>
        <v>0</v>
      </c>
      <c r="G28" s="10"/>
      <c r="H28" s="4"/>
      <c r="I28" s="4"/>
      <c r="S28" s="1">
        <f>ROUND('8 - SO201UN'!S11,4)</f>
        <v>0</v>
      </c>
    </row>
    <row r="29" spans="1:19">
      <c r="A29" s="9"/>
      <c r="B29" s="50" t="s">
        <v>518</v>
      </c>
      <c r="C29" s="50" t="s">
        <v>519</v>
      </c>
      <c r="D29" s="51">
        <f>'9 - SO341NN'!I10</f>
        <v>0</v>
      </c>
      <c r="E29" s="52">
        <f>'9 - SO341NN'!R11</f>
        <v>0.21</v>
      </c>
      <c r="F29" s="51">
        <f>('9 - SO341NN'!I11)</f>
        <v>0</v>
      </c>
      <c r="G29" s="10"/>
      <c r="H29" s="4"/>
      <c r="I29" s="4"/>
      <c r="S29" s="1">
        <f>ROUND('9 - SO341NN'!S11,4)</f>
        <v>0</v>
      </c>
    </row>
    <row r="30" spans="1:19">
      <c r="A30" s="9"/>
      <c r="B30" s="50" t="s">
        <v>520</v>
      </c>
      <c r="C30" s="50" t="s">
        <v>519</v>
      </c>
      <c r="D30" s="51">
        <f>'10 - SO341UN'!I10</f>
        <v>0</v>
      </c>
      <c r="E30" s="52">
        <f>'10 - SO341UN'!R11</f>
        <v>0.21</v>
      </c>
      <c r="F30" s="51">
        <f>('10 - SO341UN'!I11)</f>
        <v>0</v>
      </c>
      <c r="G30" s="10"/>
      <c r="H30" s="4"/>
      <c r="I30" s="4"/>
      <c r="S30" s="1">
        <f>ROUND('10 - SO341UN'!S11,4)</f>
        <v>0</v>
      </c>
    </row>
    <row r="31" spans="1:19">
      <c r="A31" s="9"/>
      <c r="B31" s="50" t="s">
        <v>521</v>
      </c>
      <c r="C31" s="50" t="s">
        <v>474</v>
      </c>
      <c r="D31" s="51">
        <f>'11 - SO431NN'!I10</f>
        <v>0</v>
      </c>
      <c r="E31" s="52">
        <f>'11 - SO431NN'!R11</f>
        <v>0.21</v>
      </c>
      <c r="F31" s="51">
        <f>('11 - SO431NN'!I11)</f>
        <v>0</v>
      </c>
      <c r="G31" s="10"/>
      <c r="H31" s="4"/>
      <c r="I31" s="4"/>
      <c r="S31" s="1">
        <f>ROUND('11 - SO431NN'!S11,4)</f>
        <v>0</v>
      </c>
    </row>
    <row r="32" spans="1:19">
      <c r="A32" s="9"/>
      <c r="B32" s="50" t="s">
        <v>522</v>
      </c>
      <c r="C32" s="50" t="s">
        <v>477</v>
      </c>
      <c r="D32" s="51">
        <f>'12 - SO432NN'!I10</f>
        <v>0</v>
      </c>
      <c r="E32" s="52">
        <f>'12 - SO432NN'!R11</f>
        <v>0.21</v>
      </c>
      <c r="F32" s="51">
        <f>('12 - SO432NN'!I11)</f>
        <v>0</v>
      </c>
      <c r="G32" s="10"/>
      <c r="H32" s="4"/>
      <c r="I32" s="4"/>
      <c r="S32" s="1">
        <f>ROUND('12 - SO432NN'!S11,4)</f>
        <v>0</v>
      </c>
    </row>
    <row r="33" spans="1:19">
      <c r="A33" s="9"/>
      <c r="B33" s="50" t="s">
        <v>523</v>
      </c>
      <c r="C33" s="50" t="s">
        <v>524</v>
      </c>
      <c r="D33" s="53"/>
      <c r="E33" s="53"/>
      <c r="F33" s="53"/>
      <c r="G33" s="10"/>
      <c r="H33" s="4"/>
      <c r="I33" s="4"/>
    </row>
    <row r="34" spans="1:19" ht="13.5" thickBot="1">
      <c r="A34" s="9"/>
      <c r="B34" s="54" t="s">
        <v>525</v>
      </c>
      <c r="C34" s="54" t="s">
        <v>482</v>
      </c>
      <c r="D34" s="55">
        <f>'13 - 801.1.1.NN'!I10</f>
        <v>0</v>
      </c>
      <c r="E34" s="56">
        <f>'13 - 801.1.1.NN'!R11</f>
        <v>0.21</v>
      </c>
      <c r="F34" s="55">
        <f>('13 - 801.1.1.NN'!I11)</f>
        <v>0</v>
      </c>
      <c r="G34" s="10"/>
      <c r="H34" s="4"/>
      <c r="I34" s="4"/>
      <c r="S34" s="1">
        <f>ROUND('13 - 801.1.1.NN'!S11,4)</f>
        <v>0</v>
      </c>
    </row>
    <row r="35" spans="1:19" ht="14.25" thickTop="1" thickBot="1">
      <c r="A35" s="9"/>
      <c r="B35" s="57" t="s">
        <v>526</v>
      </c>
      <c r="C35" s="57" t="s">
        <v>486</v>
      </c>
      <c r="D35" s="58">
        <f>'14 - 801.1.2NN'!I10</f>
        <v>0</v>
      </c>
      <c r="E35" s="59">
        <f>'14 - 801.1.2NN'!R11</f>
        <v>0.21</v>
      </c>
      <c r="F35" s="58">
        <f>('14 - 801.1.2NN'!I11)</f>
        <v>0</v>
      </c>
      <c r="G35" s="10"/>
      <c r="H35" s="4"/>
      <c r="I35" s="4"/>
      <c r="S35" s="1">
        <f>ROUND('14 - 801.1.2NN'!S11,4)</f>
        <v>0</v>
      </c>
    </row>
    <row r="36" spans="1:19" ht="14.25" thickTop="1" thickBot="1">
      <c r="A36" s="9"/>
      <c r="B36" s="57" t="s">
        <v>527</v>
      </c>
      <c r="C36" s="57" t="s">
        <v>490</v>
      </c>
      <c r="D36" s="58">
        <f>'15 - 801.2.1.NN'!I10</f>
        <v>0</v>
      </c>
      <c r="E36" s="59">
        <f>'15 - 801.2.1.NN'!R11</f>
        <v>0.21</v>
      </c>
      <c r="F36" s="58">
        <f>('15 - 801.2.1.NN'!I11)</f>
        <v>0</v>
      </c>
      <c r="G36" s="10"/>
      <c r="H36" s="4"/>
      <c r="I36" s="4"/>
      <c r="S36" s="1">
        <f>ROUND('15 - 801.2.1.NN'!S11,4)</f>
        <v>0</v>
      </c>
    </row>
    <row r="37" spans="1:19" ht="14.25" thickTop="1" thickBot="1">
      <c r="A37" s="9"/>
      <c r="B37" s="57" t="s">
        <v>528</v>
      </c>
      <c r="C37" s="57" t="s">
        <v>494</v>
      </c>
      <c r="D37" s="58">
        <f>'16 - 801.2.2.NN'!I10</f>
        <v>0</v>
      </c>
      <c r="E37" s="59">
        <f>'16 - 801.2.2.NN'!R11</f>
        <v>0.21</v>
      </c>
      <c r="F37" s="58">
        <f>('16 - 801.2.2.NN'!I11)</f>
        <v>0</v>
      </c>
      <c r="G37" s="10"/>
      <c r="H37" s="4"/>
      <c r="I37" s="4"/>
      <c r="S37" s="1">
        <f>ROUND('16 - 801.2.2.NN'!S11,4)</f>
        <v>0</v>
      </c>
    </row>
    <row r="38" spans="1:19" ht="13.5" thickTop="1">
      <c r="A38" s="11"/>
      <c r="B38" s="5"/>
      <c r="C38" s="5"/>
      <c r="D38" s="5"/>
      <c r="E38" s="5"/>
      <c r="F38" s="5"/>
      <c r="G38" s="12"/>
      <c r="H38" s="4"/>
      <c r="I38" s="4"/>
    </row>
  </sheetData>
  <mergeCells count="11">
    <mergeCell ref="A1:A2"/>
    <mergeCell ref="A3:F3"/>
    <mergeCell ref="B4:B5"/>
    <mergeCell ref="B6:E6"/>
    <mergeCell ref="C1:C2"/>
    <mergeCell ref="B17:B18"/>
    <mergeCell ref="B8:B9"/>
    <mergeCell ref="A10:B10"/>
    <mergeCell ref="A11:D11"/>
    <mergeCell ref="A12:B12"/>
    <mergeCell ref="A13:C13"/>
  </mergeCells>
  <hyperlinks>
    <hyperlink ref="B34" location="'13 - 801.1.1.NN'!A11" display="└ 801.1.1.NN ꜛ" xr:uid="{00000000-0004-0000-0000-000000000000}"/>
    <hyperlink ref="B35" location="'14 - 801.1.2NN'!A11" display="└ 801.1.2NN ꜛ" xr:uid="{00000000-0004-0000-0000-000001000000}"/>
    <hyperlink ref="B36" location="'15 - 801.2.1.NN'!A11" display="└ 801.2.1.NN ꜛ" xr:uid="{00000000-0004-0000-0000-000002000000}"/>
    <hyperlink ref="B37" location="'16 - 801.2.2.NN'!A11" display="└ 801.2.2.NN ꜛ" xr:uid="{00000000-0004-0000-0000-000003000000}"/>
  </hyperlinks>
  <pageMargins left="0.39370078740157499" right="0.39370078740157499" top="0.59055118110236204" bottom="0.39370078740157499" header="0.196850393700787" footer="0.15748031496063"/>
  <pageSetup paperSize="9" fitToHeight="0" orientation="portrait"/>
  <headerFooter>
    <oddFooter>&amp;R&amp;P/&amp;N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8 - SO201UN_cm">
    <tabColor theme="8" tint="0.39997558519241921"/>
    <pageSetUpPr fitToPage="1"/>
  </sheetPr>
  <dimension ref="A1:S282"/>
  <sheetViews>
    <sheetView workbookViewId="0">
      <selection sqref="A1:A2"/>
    </sheetView>
  </sheetViews>
  <sheetFormatPr defaultRowHeight="12.75"/>
  <cols>
    <col min="1" max="1" width="4.7109375"/>
    <col min="2" max="2" width="5.7109375"/>
    <col min="3" max="3" width="11.7109375"/>
    <col min="4" max="4" width="5.7109375"/>
    <col min="5" max="5" width="80.7109375"/>
    <col min="6" max="6" width="20.7109375"/>
    <col min="7" max="11" width="22.7109375"/>
    <col min="12" max="12" width="4.7109375"/>
    <col min="17" max="19" width="0" hidden="1"/>
  </cols>
  <sheetData>
    <row r="1" spans="1:19">
      <c r="A1" s="276"/>
      <c r="B1" s="3"/>
      <c r="C1" s="3"/>
      <c r="D1" s="280" t="s">
        <v>0</v>
      </c>
      <c r="E1" s="276"/>
      <c r="F1" s="3"/>
      <c r="G1" s="3"/>
      <c r="H1" s="3"/>
      <c r="I1" s="3"/>
      <c r="J1" s="3"/>
      <c r="K1" s="3"/>
      <c r="L1" s="3"/>
      <c r="M1" s="4"/>
      <c r="N1" s="4"/>
      <c r="O1" s="4"/>
      <c r="P1" s="4"/>
    </row>
    <row r="2" spans="1:19">
      <c r="A2" s="276"/>
      <c r="B2" s="3"/>
      <c r="C2" s="3"/>
      <c r="D2" s="276"/>
      <c r="E2" s="276"/>
      <c r="F2" s="3"/>
      <c r="G2" s="3"/>
      <c r="H2" s="3"/>
      <c r="I2" s="3"/>
      <c r="J2" s="3"/>
      <c r="K2" s="3"/>
      <c r="L2" s="3"/>
      <c r="M2" s="4"/>
      <c r="N2" s="4"/>
      <c r="O2" s="4"/>
      <c r="P2" s="4"/>
    </row>
    <row r="3" spans="1:19" ht="24" customHeight="1">
      <c r="A3" s="278" t="s">
        <v>1</v>
      </c>
      <c r="B3" s="276"/>
      <c r="C3" s="276"/>
      <c r="D3" s="276"/>
      <c r="E3" s="276"/>
      <c r="F3" s="276"/>
      <c r="G3" s="3"/>
      <c r="H3" s="3"/>
      <c r="I3" s="3"/>
      <c r="J3" s="3"/>
      <c r="K3" s="3"/>
      <c r="L3" s="3"/>
      <c r="M3" s="4"/>
      <c r="N3" s="4"/>
      <c r="O3" s="4"/>
      <c r="P3" s="4"/>
    </row>
    <row r="4" spans="1:19" ht="6" customHeight="1">
      <c r="A4" s="5"/>
      <c r="B4" s="289" t="s">
        <v>2</v>
      </c>
      <c r="C4" s="290"/>
      <c r="D4" s="5"/>
      <c r="E4" s="5"/>
      <c r="F4" s="5"/>
      <c r="G4" s="5"/>
      <c r="H4" s="5"/>
      <c r="I4" s="5"/>
      <c r="J4" s="5"/>
      <c r="K4" s="5"/>
      <c r="L4" s="5"/>
      <c r="M4" s="4"/>
      <c r="N4" s="4"/>
      <c r="O4" s="4"/>
      <c r="P4" s="4"/>
    </row>
    <row r="5" spans="1:19" ht="6" customHeight="1">
      <c r="A5" s="6"/>
      <c r="B5" s="273"/>
      <c r="C5" s="273"/>
      <c r="D5" s="7"/>
      <c r="E5" s="7"/>
      <c r="F5" s="7"/>
      <c r="G5" s="7"/>
      <c r="H5" s="7"/>
      <c r="I5" s="7"/>
      <c r="J5" s="7"/>
      <c r="K5" s="7"/>
      <c r="L5" s="8"/>
      <c r="M5" s="4"/>
      <c r="N5" s="4"/>
      <c r="O5" s="4"/>
      <c r="P5" s="4"/>
    </row>
    <row r="6" spans="1:19" ht="33.950000000000003" customHeight="1">
      <c r="A6" s="9"/>
      <c r="B6" s="297" t="s">
        <v>3</v>
      </c>
      <c r="C6" s="276"/>
      <c r="D6" s="276"/>
      <c r="E6" s="276"/>
      <c r="F6" s="276"/>
      <c r="G6" s="276"/>
      <c r="H6" s="276"/>
      <c r="I6" s="276"/>
      <c r="J6" s="3"/>
      <c r="K6" s="3"/>
      <c r="L6" s="10"/>
      <c r="M6" s="4"/>
      <c r="N6" s="4"/>
      <c r="O6" s="4"/>
      <c r="P6" s="4"/>
    </row>
    <row r="7" spans="1:19">
      <c r="A7" s="11"/>
      <c r="B7" s="5"/>
      <c r="C7" s="5"/>
      <c r="D7" s="5"/>
      <c r="E7" s="5"/>
      <c r="F7" s="5"/>
      <c r="G7" s="5"/>
      <c r="H7" s="5"/>
      <c r="I7" s="5"/>
      <c r="J7" s="5"/>
      <c r="K7" s="5"/>
      <c r="L7" s="12"/>
      <c r="M7" s="4"/>
      <c r="N7" s="4"/>
      <c r="O7" s="4"/>
      <c r="P7" s="4"/>
    </row>
    <row r="8" spans="1:19" ht="14.1" customHeight="1">
      <c r="A8" s="5"/>
      <c r="B8" s="293" t="s">
        <v>4</v>
      </c>
      <c r="C8" s="290"/>
      <c r="D8" s="5"/>
      <c r="E8" s="5"/>
      <c r="F8" s="5"/>
      <c r="G8" s="5"/>
      <c r="H8" s="5"/>
      <c r="I8" s="5"/>
      <c r="J8" s="5"/>
      <c r="K8" s="5"/>
      <c r="L8" s="5"/>
      <c r="M8" s="4"/>
      <c r="N8" s="4"/>
      <c r="O8" s="4"/>
      <c r="P8" s="4"/>
    </row>
    <row r="9" spans="1:19" ht="8.1" customHeight="1">
      <c r="A9" s="6"/>
      <c r="B9" s="273"/>
      <c r="C9" s="273"/>
      <c r="D9" s="7"/>
      <c r="E9" s="7"/>
      <c r="F9" s="7"/>
      <c r="G9" s="7"/>
      <c r="H9" s="7"/>
      <c r="I9" s="7"/>
      <c r="J9" s="7"/>
      <c r="K9" s="7"/>
      <c r="L9" s="8"/>
      <c r="M9" s="4"/>
      <c r="N9" s="4"/>
      <c r="O9" s="4"/>
      <c r="P9" s="4"/>
    </row>
    <row r="10" spans="1:19">
      <c r="A10" s="275" t="s">
        <v>5</v>
      </c>
      <c r="B10" s="276"/>
      <c r="C10" s="294"/>
      <c r="D10" s="276"/>
      <c r="E10" s="3"/>
      <c r="F10" s="14"/>
      <c r="G10" s="3"/>
      <c r="H10" s="15" t="s">
        <v>88</v>
      </c>
      <c r="I10" s="16">
        <f>G64+G90+G125+G160+G210+G218+G232+G237+G281</f>
        <v>0</v>
      </c>
      <c r="J10" s="3"/>
      <c r="K10" s="3"/>
      <c r="L10" s="10"/>
      <c r="M10" s="4"/>
      <c r="N10" s="4"/>
      <c r="O10" s="4"/>
      <c r="P10" s="4"/>
    </row>
    <row r="11" spans="1:19" ht="15.95" customHeight="1">
      <c r="A11" s="277" t="s">
        <v>209</v>
      </c>
      <c r="B11" s="276"/>
      <c r="C11" s="276"/>
      <c r="D11" s="276"/>
      <c r="E11" s="276"/>
      <c r="F11" s="295"/>
      <c r="G11" s="276"/>
      <c r="H11" s="15" t="s">
        <v>89</v>
      </c>
      <c r="I11" s="16">
        <f>ROUND(I10*(1+Q11),2)</f>
        <v>0</v>
      </c>
      <c r="J11" s="3"/>
      <c r="K11" s="3"/>
      <c r="L11" s="10"/>
      <c r="M11" s="4"/>
      <c r="N11" s="4"/>
      <c r="O11" s="4"/>
      <c r="P11" s="4"/>
      <c r="Q11" s="1">
        <f>IF(SUM(J20:J28)&gt;0,ROUND(SUM(S20:S28)/SUM(J20:J28)-1,8),0)</f>
        <v>0</v>
      </c>
      <c r="R11" s="1">
        <f>AVERAGE(I64,I90,I125,I160,I210,I218,I232,I237,I281)</f>
        <v>0.21</v>
      </c>
      <c r="S11" s="1">
        <f>I10*(1+Q11)</f>
        <v>0</v>
      </c>
    </row>
    <row r="12" spans="1:19">
      <c r="A12" s="275" t="s">
        <v>7</v>
      </c>
      <c r="B12" s="276"/>
      <c r="C12" s="294"/>
      <c r="D12" s="276"/>
      <c r="E12" s="276"/>
      <c r="F12" s="296"/>
      <c r="G12" s="276"/>
      <c r="H12" s="3"/>
      <c r="I12" s="3"/>
      <c r="J12" s="3"/>
      <c r="K12" s="3"/>
      <c r="L12" s="10"/>
      <c r="M12" s="4"/>
      <c r="N12" s="4"/>
      <c r="O12" s="4"/>
      <c r="P12" s="4"/>
    </row>
    <row r="13" spans="1:19" ht="15.95" customHeight="1">
      <c r="A13" s="277">
        <f>Souhrn!A13</f>
        <v>0</v>
      </c>
      <c r="B13" s="276"/>
      <c r="C13" s="276"/>
      <c r="D13" s="276"/>
      <c r="E13" s="276"/>
      <c r="F13" s="295"/>
      <c r="G13" s="276"/>
      <c r="H13" s="15" t="s">
        <v>8</v>
      </c>
      <c r="I13" s="13">
        <f>Souhrn!E13</f>
        <v>0</v>
      </c>
      <c r="J13" s="3"/>
      <c r="K13" s="3"/>
      <c r="L13" s="10"/>
      <c r="M13" s="4"/>
      <c r="N13" s="4"/>
      <c r="O13" s="4"/>
      <c r="P13" s="4"/>
    </row>
    <row r="14" spans="1:19">
      <c r="A14" s="9"/>
      <c r="B14" s="3"/>
      <c r="C14" s="3"/>
      <c r="D14" s="3"/>
      <c r="E14" s="3"/>
      <c r="F14" s="3"/>
      <c r="G14" s="3"/>
      <c r="H14" s="15" t="s">
        <v>9</v>
      </c>
      <c r="I14" s="13">
        <f>Souhrn!E14</f>
        <v>0</v>
      </c>
      <c r="J14" s="3"/>
      <c r="K14" s="3"/>
      <c r="L14" s="10"/>
      <c r="M14" s="4"/>
      <c r="N14" s="4"/>
      <c r="O14" s="4"/>
      <c r="P14" s="4"/>
    </row>
    <row r="15" spans="1:19" hidden="1">
      <c r="A15" s="9"/>
      <c r="B15" s="3"/>
      <c r="C15" s="3"/>
      <c r="D15" s="3"/>
      <c r="E15" s="3"/>
      <c r="F15" s="3"/>
      <c r="G15" s="3"/>
      <c r="H15" s="3"/>
      <c r="I15" s="3"/>
      <c r="J15" s="3"/>
      <c r="K15" s="3"/>
      <c r="L15" s="10"/>
      <c r="M15" s="4"/>
      <c r="N15" s="4"/>
      <c r="O15" s="4"/>
      <c r="P15" s="4"/>
    </row>
    <row r="16" spans="1:19" ht="9.9499999999999993" customHeight="1">
      <c r="A16" s="11"/>
      <c r="B16" s="5"/>
      <c r="C16" s="5"/>
      <c r="D16" s="5"/>
      <c r="E16" s="5"/>
      <c r="F16" s="5"/>
      <c r="G16" s="5"/>
      <c r="H16" s="5"/>
      <c r="I16" s="5"/>
      <c r="J16" s="5"/>
      <c r="K16" s="5"/>
      <c r="L16" s="12"/>
      <c r="M16" s="4"/>
      <c r="N16" s="4"/>
      <c r="O16" s="4"/>
      <c r="P16" s="4"/>
    </row>
    <row r="17" spans="1:19" ht="14.1" customHeight="1">
      <c r="A17" s="5"/>
      <c r="B17" s="289" t="s">
        <v>10</v>
      </c>
      <c r="C17" s="290"/>
      <c r="D17" s="5"/>
      <c r="E17" s="5"/>
      <c r="F17" s="5"/>
      <c r="G17" s="5"/>
      <c r="H17" s="5"/>
      <c r="I17" s="5"/>
      <c r="J17" s="5"/>
      <c r="K17" s="5"/>
      <c r="L17" s="5"/>
      <c r="M17" s="4"/>
      <c r="N17" s="4"/>
      <c r="O17" s="4"/>
      <c r="P17" s="4"/>
    </row>
    <row r="18" spans="1:19" ht="6" customHeight="1">
      <c r="A18" s="6"/>
      <c r="B18" s="273"/>
      <c r="C18" s="273"/>
      <c r="D18" s="7"/>
      <c r="E18" s="7"/>
      <c r="F18" s="7"/>
      <c r="G18" s="7"/>
      <c r="H18" s="7"/>
      <c r="I18" s="7"/>
      <c r="J18" s="7"/>
      <c r="K18" s="7"/>
      <c r="L18" s="8"/>
      <c r="M18" s="4"/>
      <c r="N18" s="4"/>
      <c r="O18" s="4"/>
      <c r="P18" s="4"/>
    </row>
    <row r="19" spans="1:19" ht="18" customHeight="1">
      <c r="A19" s="9"/>
      <c r="B19" s="291" t="s">
        <v>11</v>
      </c>
      <c r="C19" s="291"/>
      <c r="D19" s="291"/>
      <c r="E19" s="291" t="s">
        <v>12</v>
      </c>
      <c r="F19" s="292"/>
      <c r="G19" s="19"/>
      <c r="H19" s="19"/>
      <c r="I19" s="19"/>
      <c r="J19" s="19" t="s">
        <v>13</v>
      </c>
      <c r="K19" s="19" t="s">
        <v>14</v>
      </c>
      <c r="L19" s="10"/>
      <c r="M19" s="4"/>
      <c r="N19" s="4"/>
      <c r="O19" s="4"/>
      <c r="P19" s="4"/>
    </row>
    <row r="20" spans="1:19">
      <c r="A20" s="9"/>
      <c r="B20" s="287">
        <v>0</v>
      </c>
      <c r="C20" s="276"/>
      <c r="D20" s="276"/>
      <c r="E20" s="20" t="s">
        <v>43</v>
      </c>
      <c r="F20" s="3"/>
      <c r="G20" s="3"/>
      <c r="H20" s="3"/>
      <c r="I20" s="3"/>
      <c r="J20" s="21">
        <f>G64</f>
        <v>0</v>
      </c>
      <c r="K20" s="21">
        <f>K64</f>
        <v>0</v>
      </c>
      <c r="L20" s="10"/>
      <c r="M20" s="4"/>
      <c r="N20" s="4"/>
      <c r="O20" s="4"/>
      <c r="P20" s="4"/>
      <c r="S20" s="1">
        <f>S64</f>
        <v>0</v>
      </c>
    </row>
    <row r="21" spans="1:19">
      <c r="A21" s="9"/>
      <c r="B21" s="287">
        <v>1</v>
      </c>
      <c r="C21" s="276"/>
      <c r="D21" s="276"/>
      <c r="E21" s="20" t="s">
        <v>72</v>
      </c>
      <c r="F21" s="3"/>
      <c r="G21" s="3"/>
      <c r="H21" s="3"/>
      <c r="I21" s="3"/>
      <c r="J21" s="21">
        <f>G90</f>
        <v>0</v>
      </c>
      <c r="K21" s="21">
        <f>K90</f>
        <v>0</v>
      </c>
      <c r="L21" s="10"/>
      <c r="M21" s="4"/>
      <c r="N21" s="4"/>
      <c r="O21" s="4"/>
      <c r="P21" s="4"/>
      <c r="S21" s="1">
        <f>S90</f>
        <v>0</v>
      </c>
    </row>
    <row r="22" spans="1:19">
      <c r="A22" s="9"/>
      <c r="B22" s="287">
        <v>2</v>
      </c>
      <c r="C22" s="276"/>
      <c r="D22" s="276"/>
      <c r="E22" s="20" t="s">
        <v>118</v>
      </c>
      <c r="F22" s="3"/>
      <c r="G22" s="3"/>
      <c r="H22" s="3"/>
      <c r="I22" s="3"/>
      <c r="J22" s="21">
        <f>G125</f>
        <v>0</v>
      </c>
      <c r="K22" s="21">
        <f>K125</f>
        <v>0</v>
      </c>
      <c r="L22" s="10"/>
      <c r="M22" s="4"/>
      <c r="N22" s="4"/>
      <c r="O22" s="4"/>
      <c r="P22" s="4"/>
      <c r="S22" s="1">
        <f>S125</f>
        <v>0</v>
      </c>
    </row>
    <row r="23" spans="1:19">
      <c r="A23" s="9"/>
      <c r="B23" s="287">
        <v>3</v>
      </c>
      <c r="C23" s="276"/>
      <c r="D23" s="276"/>
      <c r="E23" s="20" t="s">
        <v>300</v>
      </c>
      <c r="F23" s="3"/>
      <c r="G23" s="3"/>
      <c r="H23" s="3"/>
      <c r="I23" s="3"/>
      <c r="J23" s="21">
        <f>G160</f>
        <v>0</v>
      </c>
      <c r="K23" s="21">
        <f>K160</f>
        <v>0</v>
      </c>
      <c r="L23" s="10"/>
      <c r="M23" s="4"/>
      <c r="N23" s="4"/>
      <c r="O23" s="4"/>
      <c r="P23" s="4"/>
      <c r="S23" s="1">
        <f>S160</f>
        <v>0</v>
      </c>
    </row>
    <row r="24" spans="1:19">
      <c r="A24" s="9"/>
      <c r="B24" s="287">
        <v>4</v>
      </c>
      <c r="C24" s="276"/>
      <c r="D24" s="276"/>
      <c r="E24" s="20" t="s">
        <v>122</v>
      </c>
      <c r="F24" s="3"/>
      <c r="G24" s="3"/>
      <c r="H24" s="3"/>
      <c r="I24" s="3"/>
      <c r="J24" s="21">
        <f>G210</f>
        <v>0</v>
      </c>
      <c r="K24" s="21">
        <f>K210</f>
        <v>0</v>
      </c>
      <c r="L24" s="10"/>
      <c r="M24" s="4"/>
      <c r="N24" s="4"/>
      <c r="O24" s="4"/>
      <c r="P24" s="4"/>
      <c r="S24" s="1">
        <f>S210</f>
        <v>0</v>
      </c>
    </row>
    <row r="25" spans="1:19">
      <c r="A25" s="9"/>
      <c r="B25" s="287">
        <v>6</v>
      </c>
      <c r="C25" s="276"/>
      <c r="D25" s="276"/>
      <c r="E25" s="20" t="s">
        <v>347</v>
      </c>
      <c r="F25" s="3"/>
      <c r="G25" s="3"/>
      <c r="H25" s="3"/>
      <c r="I25" s="3"/>
      <c r="J25" s="21">
        <f>G218</f>
        <v>0</v>
      </c>
      <c r="K25" s="21">
        <f>K218</f>
        <v>0</v>
      </c>
      <c r="L25" s="10"/>
      <c r="M25" s="4"/>
      <c r="N25" s="4"/>
      <c r="O25" s="4"/>
      <c r="P25" s="4"/>
      <c r="S25" s="1">
        <f>S218</f>
        <v>0</v>
      </c>
    </row>
    <row r="26" spans="1:19">
      <c r="A26" s="9"/>
      <c r="B26" s="287">
        <v>7</v>
      </c>
      <c r="C26" s="276"/>
      <c r="D26" s="276"/>
      <c r="E26" s="20" t="s">
        <v>357</v>
      </c>
      <c r="F26" s="3"/>
      <c r="G26" s="3"/>
      <c r="H26" s="3"/>
      <c r="I26" s="3"/>
      <c r="J26" s="21">
        <f>G232</f>
        <v>0</v>
      </c>
      <c r="K26" s="21">
        <f>K232</f>
        <v>0</v>
      </c>
      <c r="L26" s="10"/>
      <c r="M26" s="4"/>
      <c r="N26" s="4"/>
      <c r="O26" s="4"/>
      <c r="P26" s="4"/>
      <c r="S26" s="1">
        <f>S232</f>
        <v>0</v>
      </c>
    </row>
    <row r="27" spans="1:19">
      <c r="A27" s="9"/>
      <c r="B27" s="287">
        <v>8</v>
      </c>
      <c r="C27" s="276"/>
      <c r="D27" s="276"/>
      <c r="E27" s="20" t="s">
        <v>163</v>
      </c>
      <c r="F27" s="3"/>
      <c r="G27" s="3"/>
      <c r="H27" s="3"/>
      <c r="I27" s="3"/>
      <c r="J27" s="21">
        <f>G237</f>
        <v>0</v>
      </c>
      <c r="K27" s="21">
        <f>K237</f>
        <v>0</v>
      </c>
      <c r="L27" s="10"/>
      <c r="M27" s="4"/>
      <c r="N27" s="4"/>
      <c r="O27" s="4"/>
      <c r="P27" s="4"/>
      <c r="S27" s="1">
        <f>S237</f>
        <v>0</v>
      </c>
    </row>
    <row r="28" spans="1:19">
      <c r="A28" s="9"/>
      <c r="B28" s="287">
        <v>9</v>
      </c>
      <c r="C28" s="276"/>
      <c r="D28" s="276"/>
      <c r="E28" s="20" t="s">
        <v>87</v>
      </c>
      <c r="F28" s="3"/>
      <c r="G28" s="3"/>
      <c r="H28" s="3"/>
      <c r="I28" s="3"/>
      <c r="J28" s="21">
        <f>G281</f>
        <v>0</v>
      </c>
      <c r="K28" s="21">
        <f>K281</f>
        <v>0</v>
      </c>
      <c r="L28" s="10"/>
      <c r="M28" s="4"/>
      <c r="N28" s="4"/>
      <c r="O28" s="4"/>
      <c r="P28" s="4"/>
      <c r="S28" s="1">
        <f>S281</f>
        <v>0</v>
      </c>
    </row>
    <row r="29" spans="1:19">
      <c r="A29" s="11"/>
      <c r="B29" s="5"/>
      <c r="C29" s="5"/>
      <c r="D29" s="5"/>
      <c r="E29" s="5"/>
      <c r="F29" s="5"/>
      <c r="G29" s="5"/>
      <c r="H29" s="5"/>
      <c r="I29" s="5"/>
      <c r="J29" s="5"/>
      <c r="K29" s="5"/>
      <c r="L29" s="12"/>
      <c r="M29" s="4"/>
      <c r="N29" s="4"/>
      <c r="O29" s="4"/>
      <c r="P29" s="4"/>
    </row>
    <row r="30" spans="1:19" ht="14.1" customHeight="1">
      <c r="A30" s="5"/>
      <c r="B30" s="289" t="s">
        <v>15</v>
      </c>
      <c r="C30" s="290"/>
      <c r="D30" s="5"/>
      <c r="E30" s="5"/>
      <c r="F30" s="5"/>
      <c r="G30" s="5"/>
      <c r="H30" s="5"/>
      <c r="I30" s="5"/>
      <c r="J30" s="5"/>
      <c r="K30" s="5"/>
      <c r="L30" s="5"/>
      <c r="M30" s="4"/>
      <c r="N30" s="4"/>
      <c r="O30" s="4"/>
      <c r="P30" s="4"/>
    </row>
    <row r="31" spans="1:19" ht="18" customHeight="1">
      <c r="A31" s="6"/>
      <c r="B31" s="273"/>
      <c r="C31" s="273"/>
      <c r="D31" s="7"/>
      <c r="E31" s="7"/>
      <c r="F31" s="7"/>
      <c r="G31" s="7"/>
      <c r="H31" s="7"/>
      <c r="I31" s="7"/>
      <c r="J31" s="7"/>
      <c r="K31" s="7"/>
      <c r="L31" s="8"/>
      <c r="M31" s="4"/>
      <c r="N31" s="4"/>
      <c r="O31" s="4"/>
      <c r="P31" s="4"/>
    </row>
    <row r="32" spans="1:19" ht="18" customHeight="1">
      <c r="A32" s="9"/>
      <c r="B32" s="17" t="s">
        <v>16</v>
      </c>
      <c r="C32" s="17" t="s">
        <v>11</v>
      </c>
      <c r="D32" s="17" t="s">
        <v>17</v>
      </c>
      <c r="E32" s="17" t="s">
        <v>12</v>
      </c>
      <c r="F32" s="18" t="s">
        <v>18</v>
      </c>
      <c r="G32" s="19" t="s">
        <v>19</v>
      </c>
      <c r="H32" s="19" t="s">
        <v>20</v>
      </c>
      <c r="I32" s="19" t="s">
        <v>13</v>
      </c>
      <c r="J32" s="18" t="s">
        <v>21</v>
      </c>
      <c r="K32" s="19" t="s">
        <v>14</v>
      </c>
      <c r="L32" s="10"/>
      <c r="M32" s="4"/>
      <c r="N32" s="4"/>
      <c r="O32" s="4"/>
      <c r="P32" s="4"/>
    </row>
    <row r="33" spans="1:18" ht="39.950000000000003" customHeight="1">
      <c r="A33" s="9"/>
      <c r="B33" s="288" t="s">
        <v>42</v>
      </c>
      <c r="C33" s="276"/>
      <c r="D33" s="276"/>
      <c r="E33" s="276"/>
      <c r="F33" s="276"/>
      <c r="G33" s="276"/>
      <c r="H33" s="286"/>
      <c r="I33" s="276"/>
      <c r="J33" s="286"/>
      <c r="K33" s="276"/>
      <c r="L33" s="10"/>
      <c r="M33" s="4"/>
      <c r="N33" s="4"/>
      <c r="O33" s="4"/>
      <c r="P33" s="4"/>
    </row>
    <row r="34" spans="1:18">
      <c r="A34" s="9"/>
      <c r="B34" s="22">
        <v>1</v>
      </c>
      <c r="C34" s="23" t="s">
        <v>22</v>
      </c>
      <c r="D34" s="23"/>
      <c r="E34" s="23" t="s">
        <v>210</v>
      </c>
      <c r="F34" s="24" t="s">
        <v>24</v>
      </c>
      <c r="G34" s="25">
        <f>ROUND(1165.36,3)</f>
        <v>1165.3599999999999</v>
      </c>
      <c r="H34" s="40">
        <f>ROUND(0,2)</f>
        <v>0</v>
      </c>
      <c r="I34" s="26">
        <f>ROUND(H34*G34,2)</f>
        <v>0</v>
      </c>
      <c r="J34" s="45" t="s">
        <v>25</v>
      </c>
      <c r="K34" s="26">
        <f>IF(ISNUMBER(J34),ROUND(I34*(J34+1),2),0)</f>
        <v>0</v>
      </c>
      <c r="L34" s="10"/>
      <c r="M34" s="4"/>
      <c r="N34" s="4"/>
      <c r="O34" s="4"/>
      <c r="P34" s="4"/>
      <c r="Q34" s="1">
        <f>IF(ISNUMBER(J34),IF(G34&gt;0,IF(H34&gt;0,I34,0),0),0)</f>
        <v>0</v>
      </c>
      <c r="R34" s="1">
        <f>IF(ISNUMBER(J34)=FALSE,I34,0)</f>
        <v>0</v>
      </c>
    </row>
    <row r="35" spans="1:18">
      <c r="A35" s="9"/>
      <c r="B35" s="283" t="s">
        <v>27</v>
      </c>
      <c r="C35" s="276"/>
      <c r="D35" s="276"/>
      <c r="E35" s="27" t="s">
        <v>25</v>
      </c>
      <c r="F35" s="3"/>
      <c r="G35" s="3"/>
      <c r="H35" s="39"/>
      <c r="I35" s="3"/>
      <c r="J35" s="39"/>
      <c r="K35" s="3"/>
      <c r="L35" s="10"/>
      <c r="M35" s="4"/>
      <c r="N35" s="4"/>
      <c r="O35" s="4"/>
      <c r="P35" s="4"/>
    </row>
    <row r="36" spans="1:18" ht="13.5" thickBot="1">
      <c r="A36" s="9"/>
      <c r="B36" s="281" t="s">
        <v>28</v>
      </c>
      <c r="C36" s="282"/>
      <c r="D36" s="282"/>
      <c r="E36" s="29" t="s">
        <v>25</v>
      </c>
      <c r="F36" s="28"/>
      <c r="G36" s="28"/>
      <c r="H36" s="41"/>
      <c r="I36" s="28"/>
      <c r="J36" s="41"/>
      <c r="K36" s="28"/>
      <c r="L36" s="10"/>
      <c r="M36" s="4"/>
      <c r="N36" s="4"/>
      <c r="O36" s="4"/>
      <c r="P36" s="4"/>
    </row>
    <row r="37" spans="1:18" ht="13.5" thickTop="1">
      <c r="A37" s="9"/>
      <c r="B37" s="22">
        <v>2</v>
      </c>
      <c r="C37" s="23" t="s">
        <v>32</v>
      </c>
      <c r="D37" s="23" t="s">
        <v>25</v>
      </c>
      <c r="E37" s="23" t="s">
        <v>211</v>
      </c>
      <c r="F37" s="24" t="s">
        <v>24</v>
      </c>
      <c r="G37" s="30">
        <f>ROUND(1460.57,3)</f>
        <v>1460.57</v>
      </c>
      <c r="H37" s="42">
        <f>ROUND(0,2)</f>
        <v>0</v>
      </c>
      <c r="I37" s="31">
        <f>ROUND(H37*G37,2)</f>
        <v>0</v>
      </c>
      <c r="J37" s="46" t="s">
        <v>25</v>
      </c>
      <c r="K37" s="31">
        <f>IF(ISNUMBER(J37),ROUND(I37*(J37+1),2),0)</f>
        <v>0</v>
      </c>
      <c r="L37" s="10"/>
      <c r="M37" s="4"/>
      <c r="N37" s="4"/>
      <c r="O37" s="4"/>
      <c r="P37" s="4"/>
      <c r="Q37" s="1">
        <f>IF(ISNUMBER(J37),IF(G37&gt;0,IF(H37&gt;0,I37,0),0),0)</f>
        <v>0</v>
      </c>
      <c r="R37" s="1">
        <f>IF(ISNUMBER(J37)=FALSE,I37,0)</f>
        <v>0</v>
      </c>
    </row>
    <row r="38" spans="1:18">
      <c r="A38" s="9"/>
      <c r="B38" s="283" t="s">
        <v>27</v>
      </c>
      <c r="C38" s="276"/>
      <c r="D38" s="276"/>
      <c r="E38" s="27" t="s">
        <v>25</v>
      </c>
      <c r="F38" s="3"/>
      <c r="G38" s="3"/>
      <c r="H38" s="39"/>
      <c r="I38" s="3"/>
      <c r="J38" s="39"/>
      <c r="K38" s="3"/>
      <c r="L38" s="10"/>
      <c r="M38" s="4"/>
      <c r="N38" s="4"/>
      <c r="O38" s="4"/>
      <c r="P38" s="4"/>
    </row>
    <row r="39" spans="1:18" ht="13.5" thickBot="1">
      <c r="A39" s="9"/>
      <c r="B39" s="281" t="s">
        <v>28</v>
      </c>
      <c r="C39" s="282"/>
      <c r="D39" s="282"/>
      <c r="E39" s="29" t="s">
        <v>25</v>
      </c>
      <c r="F39" s="28"/>
      <c r="G39" s="28"/>
      <c r="H39" s="41"/>
      <c r="I39" s="28"/>
      <c r="J39" s="41"/>
      <c r="K39" s="28"/>
      <c r="L39" s="10"/>
      <c r="M39" s="4"/>
      <c r="N39" s="4"/>
      <c r="O39" s="4"/>
      <c r="P39" s="4"/>
    </row>
    <row r="40" spans="1:18" ht="13.5" thickTop="1">
      <c r="A40" s="9"/>
      <c r="B40" s="22">
        <v>3</v>
      </c>
      <c r="C40" s="23" t="s">
        <v>212</v>
      </c>
      <c r="D40" s="23"/>
      <c r="E40" s="23" t="s">
        <v>213</v>
      </c>
      <c r="F40" s="24" t="s">
        <v>40</v>
      </c>
      <c r="G40" s="30">
        <f>ROUND(1,3)</f>
        <v>1</v>
      </c>
      <c r="H40" s="42">
        <f>ROUND(0,2)</f>
        <v>0</v>
      </c>
      <c r="I40" s="31">
        <f>ROUND(H40*G40,2)</f>
        <v>0</v>
      </c>
      <c r="J40" s="46" t="s">
        <v>25</v>
      </c>
      <c r="K40" s="31">
        <f>IF(ISNUMBER(J40),ROUND(I40*(J40+1),2),0)</f>
        <v>0</v>
      </c>
      <c r="L40" s="10"/>
      <c r="M40" s="4"/>
      <c r="N40" s="4"/>
      <c r="O40" s="4"/>
      <c r="P40" s="4"/>
      <c r="Q40" s="1">
        <f>IF(ISNUMBER(J40),IF(G40&gt;0,IF(H40&gt;0,I40,0),0),0)</f>
        <v>0</v>
      </c>
      <c r="R40" s="1">
        <f>IF(ISNUMBER(J40)=FALSE,I40,0)</f>
        <v>0</v>
      </c>
    </row>
    <row r="41" spans="1:18">
      <c r="A41" s="9"/>
      <c r="B41" s="283" t="s">
        <v>27</v>
      </c>
      <c r="C41" s="276"/>
      <c r="D41" s="276"/>
      <c r="E41" s="27" t="s">
        <v>214</v>
      </c>
      <c r="F41" s="3"/>
      <c r="G41" s="3"/>
      <c r="H41" s="39"/>
      <c r="I41" s="3"/>
      <c r="J41" s="39"/>
      <c r="K41" s="3"/>
      <c r="L41" s="10"/>
      <c r="M41" s="4"/>
      <c r="N41" s="4"/>
      <c r="O41" s="4"/>
      <c r="P41" s="4"/>
    </row>
    <row r="42" spans="1:18" ht="13.5" thickBot="1">
      <c r="A42" s="9"/>
      <c r="B42" s="281" t="s">
        <v>28</v>
      </c>
      <c r="C42" s="282"/>
      <c r="D42" s="282"/>
      <c r="E42" s="29" t="s">
        <v>25</v>
      </c>
      <c r="F42" s="28"/>
      <c r="G42" s="28"/>
      <c r="H42" s="41"/>
      <c r="I42" s="28"/>
      <c r="J42" s="41"/>
      <c r="K42" s="28"/>
      <c r="L42" s="10"/>
      <c r="M42" s="4"/>
      <c r="N42" s="4"/>
      <c r="O42" s="4"/>
      <c r="P42" s="4"/>
    </row>
    <row r="43" spans="1:18" ht="13.5" thickTop="1">
      <c r="A43" s="9"/>
      <c r="B43" s="22">
        <v>4</v>
      </c>
      <c r="C43" s="23" t="s">
        <v>215</v>
      </c>
      <c r="D43" s="23" t="s">
        <v>25</v>
      </c>
      <c r="E43" s="23" t="s">
        <v>216</v>
      </c>
      <c r="F43" s="24" t="s">
        <v>40</v>
      </c>
      <c r="G43" s="30">
        <f>ROUND(1,3)</f>
        <v>1</v>
      </c>
      <c r="H43" s="42">
        <f>ROUND(0,2)</f>
        <v>0</v>
      </c>
      <c r="I43" s="31">
        <f>ROUND(H43*G43,2)</f>
        <v>0</v>
      </c>
      <c r="J43" s="46" t="s">
        <v>25</v>
      </c>
      <c r="K43" s="31">
        <f>IF(ISNUMBER(J43),ROUND(I43*(J43+1),2),0)</f>
        <v>0</v>
      </c>
      <c r="L43" s="10"/>
      <c r="M43" s="4"/>
      <c r="N43" s="4"/>
      <c r="O43" s="4"/>
      <c r="P43" s="4"/>
      <c r="Q43" s="1">
        <f>IF(ISNUMBER(J43),IF(G43&gt;0,IF(H43&gt;0,I43,0),0),0)</f>
        <v>0</v>
      </c>
      <c r="R43" s="1">
        <f>IF(ISNUMBER(J43)=FALSE,I43,0)</f>
        <v>0</v>
      </c>
    </row>
    <row r="44" spans="1:18">
      <c r="A44" s="9"/>
      <c r="B44" s="283" t="s">
        <v>27</v>
      </c>
      <c r="C44" s="276"/>
      <c r="D44" s="276"/>
      <c r="E44" s="27" t="s">
        <v>214</v>
      </c>
      <c r="F44" s="3"/>
      <c r="G44" s="3"/>
      <c r="H44" s="39"/>
      <c r="I44" s="3"/>
      <c r="J44" s="39"/>
      <c r="K44" s="3"/>
      <c r="L44" s="10"/>
      <c r="M44" s="4"/>
      <c r="N44" s="4"/>
      <c r="O44" s="4"/>
      <c r="P44" s="4"/>
    </row>
    <row r="45" spans="1:18" ht="13.5" thickBot="1">
      <c r="A45" s="9"/>
      <c r="B45" s="281" t="s">
        <v>28</v>
      </c>
      <c r="C45" s="282"/>
      <c r="D45" s="282"/>
      <c r="E45" s="29" t="s">
        <v>25</v>
      </c>
      <c r="F45" s="28"/>
      <c r="G45" s="28"/>
      <c r="H45" s="41"/>
      <c r="I45" s="28"/>
      <c r="J45" s="41"/>
      <c r="K45" s="28"/>
      <c r="L45" s="10"/>
      <c r="M45" s="4"/>
      <c r="N45" s="4"/>
      <c r="O45" s="4"/>
      <c r="P45" s="4"/>
    </row>
    <row r="46" spans="1:18" ht="13.5" thickTop="1">
      <c r="A46" s="9"/>
      <c r="B46" s="22">
        <v>5</v>
      </c>
      <c r="C46" s="23" t="s">
        <v>98</v>
      </c>
      <c r="D46" s="23" t="s">
        <v>25</v>
      </c>
      <c r="E46" s="23" t="s">
        <v>99</v>
      </c>
      <c r="F46" s="24" t="s">
        <v>40</v>
      </c>
      <c r="G46" s="30">
        <f>ROUND(1,3)</f>
        <v>1</v>
      </c>
      <c r="H46" s="42">
        <f>ROUND(0,2)</f>
        <v>0</v>
      </c>
      <c r="I46" s="31">
        <f>ROUND(H46*G46,2)</f>
        <v>0</v>
      </c>
      <c r="J46" s="46" t="s">
        <v>25</v>
      </c>
      <c r="K46" s="31">
        <f>IF(ISNUMBER(J46),ROUND(I46*(J46+1),2),0)</f>
        <v>0</v>
      </c>
      <c r="L46" s="10"/>
      <c r="M46" s="4"/>
      <c r="N46" s="4"/>
      <c r="O46" s="4"/>
      <c r="P46" s="4"/>
      <c r="Q46" s="1">
        <f>IF(ISNUMBER(J46),IF(G46&gt;0,IF(H46&gt;0,I46,0),0),0)</f>
        <v>0</v>
      </c>
      <c r="R46" s="1">
        <f>IF(ISNUMBER(J46)=FALSE,I46,0)</f>
        <v>0</v>
      </c>
    </row>
    <row r="47" spans="1:18">
      <c r="A47" s="9"/>
      <c r="B47" s="283" t="s">
        <v>27</v>
      </c>
      <c r="C47" s="276"/>
      <c r="D47" s="276"/>
      <c r="E47" s="27" t="s">
        <v>217</v>
      </c>
      <c r="F47" s="3"/>
      <c r="G47" s="3"/>
      <c r="H47" s="39"/>
      <c r="I47" s="3"/>
      <c r="J47" s="39"/>
      <c r="K47" s="3"/>
      <c r="L47" s="10"/>
      <c r="M47" s="4"/>
      <c r="N47" s="4"/>
      <c r="O47" s="4"/>
      <c r="P47" s="4"/>
    </row>
    <row r="48" spans="1:18" ht="13.5" thickBot="1">
      <c r="A48" s="9"/>
      <c r="B48" s="281" t="s">
        <v>28</v>
      </c>
      <c r="C48" s="282"/>
      <c r="D48" s="282"/>
      <c r="E48" s="29" t="s">
        <v>25</v>
      </c>
      <c r="F48" s="28"/>
      <c r="G48" s="28"/>
      <c r="H48" s="41"/>
      <c r="I48" s="28"/>
      <c r="J48" s="41"/>
      <c r="K48" s="28"/>
      <c r="L48" s="10"/>
      <c r="M48" s="4"/>
      <c r="N48" s="4"/>
      <c r="O48" s="4"/>
      <c r="P48" s="4"/>
    </row>
    <row r="49" spans="1:19" ht="13.5" thickTop="1">
      <c r="A49" s="9"/>
      <c r="B49" s="22">
        <v>6</v>
      </c>
      <c r="C49" s="23" t="s">
        <v>218</v>
      </c>
      <c r="D49" s="23" t="s">
        <v>25</v>
      </c>
      <c r="E49" s="23" t="s">
        <v>219</v>
      </c>
      <c r="F49" s="24" t="s">
        <v>40</v>
      </c>
      <c r="G49" s="30">
        <f>ROUND(1,3)</f>
        <v>1</v>
      </c>
      <c r="H49" s="42">
        <f>ROUND(0,2)</f>
        <v>0</v>
      </c>
      <c r="I49" s="31">
        <f>ROUND(H49*G49,2)</f>
        <v>0</v>
      </c>
      <c r="J49" s="46" t="s">
        <v>25</v>
      </c>
      <c r="K49" s="31">
        <f>IF(ISNUMBER(J49),ROUND(I49*(J49+1),2),0)</f>
        <v>0</v>
      </c>
      <c r="L49" s="10"/>
      <c r="M49" s="4"/>
      <c r="N49" s="4"/>
      <c r="O49" s="4"/>
      <c r="P49" s="4"/>
      <c r="Q49" s="1">
        <f>IF(ISNUMBER(J49),IF(G49&gt;0,IF(H49&gt;0,I49,0),0),0)</f>
        <v>0</v>
      </c>
      <c r="R49" s="1">
        <f>IF(ISNUMBER(J49)=FALSE,I49,0)</f>
        <v>0</v>
      </c>
    </row>
    <row r="50" spans="1:19">
      <c r="A50" s="9"/>
      <c r="B50" s="283" t="s">
        <v>27</v>
      </c>
      <c r="C50" s="276"/>
      <c r="D50" s="276"/>
      <c r="E50" s="27" t="s">
        <v>220</v>
      </c>
      <c r="F50" s="3"/>
      <c r="G50" s="3"/>
      <c r="H50" s="39"/>
      <c r="I50" s="3"/>
      <c r="J50" s="39"/>
      <c r="K50" s="3"/>
      <c r="L50" s="10"/>
      <c r="M50" s="4"/>
      <c r="N50" s="4"/>
      <c r="O50" s="4"/>
      <c r="P50" s="4"/>
    </row>
    <row r="51" spans="1:19" ht="13.5" thickBot="1">
      <c r="A51" s="9"/>
      <c r="B51" s="281" t="s">
        <v>28</v>
      </c>
      <c r="C51" s="282"/>
      <c r="D51" s="282"/>
      <c r="E51" s="29" t="s">
        <v>25</v>
      </c>
      <c r="F51" s="28"/>
      <c r="G51" s="28"/>
      <c r="H51" s="41"/>
      <c r="I51" s="28"/>
      <c r="J51" s="41"/>
      <c r="K51" s="28"/>
      <c r="L51" s="10"/>
      <c r="M51" s="4"/>
      <c r="N51" s="4"/>
      <c r="O51" s="4"/>
      <c r="P51" s="4"/>
    </row>
    <row r="52" spans="1:19" ht="13.5" thickTop="1">
      <c r="A52" s="9"/>
      <c r="B52" s="22">
        <v>7</v>
      </c>
      <c r="C52" s="23" t="s">
        <v>221</v>
      </c>
      <c r="D52" s="23" t="s">
        <v>25</v>
      </c>
      <c r="E52" s="23" t="s">
        <v>222</v>
      </c>
      <c r="F52" s="24" t="s">
        <v>40</v>
      </c>
      <c r="G52" s="30">
        <f>ROUND(1,3)</f>
        <v>1</v>
      </c>
      <c r="H52" s="42">
        <f>ROUND(0,2)</f>
        <v>0</v>
      </c>
      <c r="I52" s="31">
        <f>ROUND(H52*G52,2)</f>
        <v>0</v>
      </c>
      <c r="J52" s="46" t="s">
        <v>25</v>
      </c>
      <c r="K52" s="31">
        <f>IF(ISNUMBER(J52),ROUND(I52*(J52+1),2),0)</f>
        <v>0</v>
      </c>
      <c r="L52" s="10"/>
      <c r="M52" s="4"/>
      <c r="N52" s="4"/>
      <c r="O52" s="4"/>
      <c r="P52" s="4"/>
      <c r="Q52" s="1">
        <f>IF(ISNUMBER(J52),IF(G52&gt;0,IF(H52&gt;0,I52,0),0),0)</f>
        <v>0</v>
      </c>
      <c r="R52" s="1">
        <f>IF(ISNUMBER(J52)=FALSE,I52,0)</f>
        <v>0</v>
      </c>
    </row>
    <row r="53" spans="1:19">
      <c r="A53" s="9"/>
      <c r="B53" s="283" t="s">
        <v>27</v>
      </c>
      <c r="C53" s="276"/>
      <c r="D53" s="276"/>
      <c r="E53" s="27" t="s">
        <v>223</v>
      </c>
      <c r="F53" s="3"/>
      <c r="G53" s="3"/>
      <c r="H53" s="39"/>
      <c r="I53" s="3"/>
      <c r="J53" s="39"/>
      <c r="K53" s="3"/>
      <c r="L53" s="10"/>
      <c r="M53" s="4"/>
      <c r="N53" s="4"/>
      <c r="O53" s="4"/>
      <c r="P53" s="4"/>
    </row>
    <row r="54" spans="1:19" ht="13.5" thickBot="1">
      <c r="A54" s="9"/>
      <c r="B54" s="281" t="s">
        <v>28</v>
      </c>
      <c r="C54" s="282"/>
      <c r="D54" s="282"/>
      <c r="E54" s="29" t="s">
        <v>25</v>
      </c>
      <c r="F54" s="28"/>
      <c r="G54" s="28"/>
      <c r="H54" s="41"/>
      <c r="I54" s="28"/>
      <c r="J54" s="41"/>
      <c r="K54" s="28"/>
      <c r="L54" s="10"/>
      <c r="M54" s="4"/>
      <c r="N54" s="4"/>
      <c r="O54" s="4"/>
      <c r="P54" s="4"/>
    </row>
    <row r="55" spans="1:19" ht="13.5" thickTop="1">
      <c r="A55" s="9"/>
      <c r="B55" s="22">
        <v>8</v>
      </c>
      <c r="C55" s="23" t="s">
        <v>224</v>
      </c>
      <c r="D55" s="23" t="s">
        <v>25</v>
      </c>
      <c r="E55" s="23" t="s">
        <v>225</v>
      </c>
      <c r="F55" s="24" t="s">
        <v>52</v>
      </c>
      <c r="G55" s="30">
        <f>ROUND(4,3)</f>
        <v>4</v>
      </c>
      <c r="H55" s="42">
        <f>ROUND(0,2)</f>
        <v>0</v>
      </c>
      <c r="I55" s="31">
        <f>ROUND(H55*G55,2)</f>
        <v>0</v>
      </c>
      <c r="J55" s="46" t="s">
        <v>25</v>
      </c>
      <c r="K55" s="31">
        <f>IF(ISNUMBER(J55),ROUND(I55*(J55+1),2),0)</f>
        <v>0</v>
      </c>
      <c r="L55" s="10"/>
      <c r="M55" s="4"/>
      <c r="N55" s="4"/>
      <c r="O55" s="4"/>
      <c r="P55" s="4"/>
      <c r="Q55" s="1">
        <f>IF(ISNUMBER(J55),IF(G55&gt;0,IF(H55&gt;0,I55,0),0),0)</f>
        <v>0</v>
      </c>
      <c r="R55" s="1">
        <f>IF(ISNUMBER(J55)=FALSE,I55,0)</f>
        <v>0</v>
      </c>
    </row>
    <row r="56" spans="1:19">
      <c r="A56" s="9"/>
      <c r="B56" s="283" t="s">
        <v>27</v>
      </c>
      <c r="C56" s="276"/>
      <c r="D56" s="276"/>
      <c r="E56" s="27" t="s">
        <v>25</v>
      </c>
      <c r="F56" s="3"/>
      <c r="G56" s="3"/>
      <c r="H56" s="39"/>
      <c r="I56" s="3"/>
      <c r="J56" s="39"/>
      <c r="K56" s="3"/>
      <c r="L56" s="10"/>
      <c r="M56" s="4"/>
      <c r="N56" s="4"/>
      <c r="O56" s="4"/>
      <c r="P56" s="4"/>
    </row>
    <row r="57" spans="1:19" ht="13.5" thickBot="1">
      <c r="A57" s="9"/>
      <c r="B57" s="281" t="s">
        <v>28</v>
      </c>
      <c r="C57" s="282"/>
      <c r="D57" s="282"/>
      <c r="E57" s="29" t="s">
        <v>25</v>
      </c>
      <c r="F57" s="28"/>
      <c r="G57" s="28"/>
      <c r="H57" s="41"/>
      <c r="I57" s="28"/>
      <c r="J57" s="41"/>
      <c r="K57" s="28"/>
      <c r="L57" s="10"/>
      <c r="M57" s="4"/>
      <c r="N57" s="4"/>
      <c r="O57" s="4"/>
      <c r="P57" s="4"/>
    </row>
    <row r="58" spans="1:19" ht="13.5" thickTop="1">
      <c r="A58" s="9"/>
      <c r="B58" s="22">
        <v>9</v>
      </c>
      <c r="C58" s="23" t="s">
        <v>226</v>
      </c>
      <c r="D58" s="23" t="s">
        <v>25</v>
      </c>
      <c r="E58" s="23" t="s">
        <v>227</v>
      </c>
      <c r="F58" s="24" t="s">
        <v>52</v>
      </c>
      <c r="G58" s="30">
        <f>ROUND(1,3)</f>
        <v>1</v>
      </c>
      <c r="H58" s="42">
        <f>ROUND(0,2)</f>
        <v>0</v>
      </c>
      <c r="I58" s="31">
        <f>ROUND(H58*G58,2)</f>
        <v>0</v>
      </c>
      <c r="J58" s="46" t="s">
        <v>25</v>
      </c>
      <c r="K58" s="31">
        <f>IF(ISNUMBER(J58),ROUND(I58*(J58+1),2),0)</f>
        <v>0</v>
      </c>
      <c r="L58" s="10"/>
      <c r="M58" s="4"/>
      <c r="N58" s="4"/>
      <c r="O58" s="4"/>
      <c r="P58" s="4"/>
      <c r="Q58" s="1">
        <f>IF(ISNUMBER(J58),IF(G58&gt;0,IF(H58&gt;0,I58,0),0),0)</f>
        <v>0</v>
      </c>
      <c r="R58" s="1">
        <f>IF(ISNUMBER(J58)=FALSE,I58,0)</f>
        <v>0</v>
      </c>
    </row>
    <row r="59" spans="1:19">
      <c r="A59" s="9"/>
      <c r="B59" s="283" t="s">
        <v>27</v>
      </c>
      <c r="C59" s="276"/>
      <c r="D59" s="276"/>
      <c r="E59" s="27" t="s">
        <v>25</v>
      </c>
      <c r="F59" s="3"/>
      <c r="G59" s="3"/>
      <c r="H59" s="39"/>
      <c r="I59" s="3"/>
      <c r="J59" s="39"/>
      <c r="K59" s="3"/>
      <c r="L59" s="10"/>
      <c r="M59" s="4"/>
      <c r="N59" s="4"/>
      <c r="O59" s="4"/>
      <c r="P59" s="4"/>
    </row>
    <row r="60" spans="1:19" ht="13.5" thickBot="1">
      <c r="A60" s="9"/>
      <c r="B60" s="281" t="s">
        <v>28</v>
      </c>
      <c r="C60" s="282"/>
      <c r="D60" s="282"/>
      <c r="E60" s="29" t="s">
        <v>25</v>
      </c>
      <c r="F60" s="28"/>
      <c r="G60" s="28"/>
      <c r="H60" s="41"/>
      <c r="I60" s="28"/>
      <c r="J60" s="41"/>
      <c r="K60" s="28"/>
      <c r="L60" s="10"/>
      <c r="M60" s="4"/>
      <c r="N60" s="4"/>
      <c r="O60" s="4"/>
      <c r="P60" s="4"/>
    </row>
    <row r="61" spans="1:19" ht="13.5" thickTop="1">
      <c r="A61" s="9"/>
      <c r="B61" s="22">
        <v>10</v>
      </c>
      <c r="C61" s="23" t="s">
        <v>228</v>
      </c>
      <c r="D61" s="23" t="s">
        <v>25</v>
      </c>
      <c r="E61" s="23" t="s">
        <v>229</v>
      </c>
      <c r="F61" s="24" t="s">
        <v>40</v>
      </c>
      <c r="G61" s="30">
        <f>ROUND(1,3)</f>
        <v>1</v>
      </c>
      <c r="H61" s="42">
        <f>ROUND(0,2)</f>
        <v>0</v>
      </c>
      <c r="I61" s="31">
        <f>ROUND(H61*G61,2)</f>
        <v>0</v>
      </c>
      <c r="J61" s="46" t="s">
        <v>25</v>
      </c>
      <c r="K61" s="31">
        <f>IF(ISNUMBER(J61),ROUND(I61*(J61+1),2),0)</f>
        <v>0</v>
      </c>
      <c r="L61" s="10"/>
      <c r="M61" s="4"/>
      <c r="N61" s="4"/>
      <c r="O61" s="4"/>
      <c r="P61" s="4"/>
      <c r="Q61" s="1">
        <f>IF(ISNUMBER(J61),IF(G61&gt;0,IF(H61&gt;0,I61,0),0),0)</f>
        <v>0</v>
      </c>
      <c r="R61" s="1">
        <f>IF(ISNUMBER(J61)=FALSE,I61,0)</f>
        <v>0</v>
      </c>
    </row>
    <row r="62" spans="1:19" ht="25.5">
      <c r="A62" s="9"/>
      <c r="B62" s="283" t="s">
        <v>27</v>
      </c>
      <c r="C62" s="276"/>
      <c r="D62" s="276"/>
      <c r="E62" s="27" t="s">
        <v>230</v>
      </c>
      <c r="F62" s="3"/>
      <c r="G62" s="3"/>
      <c r="H62" s="39"/>
      <c r="I62" s="3"/>
      <c r="J62" s="39"/>
      <c r="K62" s="3"/>
      <c r="L62" s="10"/>
      <c r="M62" s="4"/>
      <c r="N62" s="4"/>
      <c r="O62" s="4"/>
      <c r="P62" s="4"/>
    </row>
    <row r="63" spans="1:19" ht="13.5" thickBot="1">
      <c r="A63" s="9"/>
      <c r="B63" s="281" t="s">
        <v>28</v>
      </c>
      <c r="C63" s="282"/>
      <c r="D63" s="282"/>
      <c r="E63" s="29" t="s">
        <v>25</v>
      </c>
      <c r="F63" s="28"/>
      <c r="G63" s="28"/>
      <c r="H63" s="41"/>
      <c r="I63" s="28"/>
      <c r="J63" s="41"/>
      <c r="K63" s="28"/>
      <c r="L63" s="10"/>
      <c r="M63" s="4"/>
      <c r="N63" s="4"/>
      <c r="O63" s="4"/>
      <c r="P63" s="4"/>
    </row>
    <row r="64" spans="1:19" ht="24.95" customHeight="1" thickTop="1" thickBot="1">
      <c r="A64" s="9"/>
      <c r="B64" s="32"/>
      <c r="C64" s="33">
        <v>0</v>
      </c>
      <c r="D64" s="32"/>
      <c r="E64" s="34" t="s">
        <v>43</v>
      </c>
      <c r="F64" s="35" t="s">
        <v>44</v>
      </c>
      <c r="G64" s="36">
        <f>I34+I37+I40+I43+I46+I49+I52+I55+I58+I61</f>
        <v>0</v>
      </c>
      <c r="H64" s="43" t="s">
        <v>45</v>
      </c>
      <c r="I64" s="37">
        <f>IF(COUNT(J34:J64)&gt;0,AVERAGE(J34:J64),0.21)</f>
        <v>0.21</v>
      </c>
      <c r="J64" s="43" t="s">
        <v>46</v>
      </c>
      <c r="K64" s="36">
        <f>ROUND(Q64*(1+I64),2)+R64</f>
        <v>0</v>
      </c>
      <c r="L64" s="10"/>
      <c r="M64" s="4"/>
      <c r="N64" s="4"/>
      <c r="O64" s="4"/>
      <c r="P64" s="4"/>
      <c r="Q64" s="1">
        <f>0+Q34+Q37+Q40+Q43+Q46+Q49+Q52+Q55+Q58+Q61</f>
        <v>0</v>
      </c>
      <c r="R64" s="1">
        <f>0+R34+R37+R40+R43+R46+R49+R52+R55+R58+R61</f>
        <v>0</v>
      </c>
      <c r="S64" s="2">
        <f>Q64*(1+I64)+R64</f>
        <v>0</v>
      </c>
    </row>
    <row r="65" spans="1:18" ht="39.950000000000003" customHeight="1">
      <c r="A65" s="9"/>
      <c r="B65" s="284" t="s">
        <v>71</v>
      </c>
      <c r="C65" s="276"/>
      <c r="D65" s="276"/>
      <c r="E65" s="285"/>
      <c r="F65" s="276"/>
      <c r="G65" s="276"/>
      <c r="H65" s="286"/>
      <c r="I65" s="276"/>
      <c r="J65" s="286"/>
      <c r="K65" s="276"/>
      <c r="L65" s="10"/>
      <c r="M65" s="4"/>
      <c r="N65" s="4"/>
      <c r="O65" s="4"/>
      <c r="P65" s="4"/>
    </row>
    <row r="66" spans="1:18">
      <c r="A66" s="9"/>
      <c r="B66" s="22">
        <v>11</v>
      </c>
      <c r="C66" s="23" t="s">
        <v>231</v>
      </c>
      <c r="D66" s="23" t="s">
        <v>25</v>
      </c>
      <c r="E66" s="23" t="s">
        <v>232</v>
      </c>
      <c r="F66" s="24" t="s">
        <v>49</v>
      </c>
      <c r="G66" s="25">
        <f>ROUND(75,3)</f>
        <v>75</v>
      </c>
      <c r="H66" s="40">
        <f>ROUND(0,2)</f>
        <v>0</v>
      </c>
      <c r="I66" s="26">
        <f>ROUND(H66*G66,2)</f>
        <v>0</v>
      </c>
      <c r="J66" s="45" t="s">
        <v>25</v>
      </c>
      <c r="K66" s="26">
        <f>IF(ISNUMBER(J66),ROUND(I66*(J66+1),2),0)</f>
        <v>0</v>
      </c>
      <c r="L66" s="10"/>
      <c r="M66" s="4"/>
      <c r="N66" s="4"/>
      <c r="O66" s="4"/>
      <c r="P66" s="4"/>
      <c r="Q66" s="1">
        <f>IF(ISNUMBER(J66),IF(G66&gt;0,IF(H66&gt;0,I66,0),0),0)</f>
        <v>0</v>
      </c>
      <c r="R66" s="1">
        <f>IF(ISNUMBER(J66)=FALSE,I66,0)</f>
        <v>0</v>
      </c>
    </row>
    <row r="67" spans="1:18">
      <c r="A67" s="9"/>
      <c r="B67" s="283" t="s">
        <v>27</v>
      </c>
      <c r="C67" s="276"/>
      <c r="D67" s="276"/>
      <c r="E67" s="27" t="s">
        <v>25</v>
      </c>
      <c r="F67" s="3"/>
      <c r="G67" s="3"/>
      <c r="H67" s="39"/>
      <c r="I67" s="3"/>
      <c r="J67" s="39"/>
      <c r="K67" s="3"/>
      <c r="L67" s="10"/>
      <c r="M67" s="4"/>
      <c r="N67" s="4"/>
      <c r="O67" s="4"/>
      <c r="P67" s="4"/>
    </row>
    <row r="68" spans="1:18" ht="13.5" thickBot="1">
      <c r="A68" s="9"/>
      <c r="B68" s="281" t="s">
        <v>28</v>
      </c>
      <c r="C68" s="282"/>
      <c r="D68" s="282"/>
      <c r="E68" s="29" t="s">
        <v>25</v>
      </c>
      <c r="F68" s="28"/>
      <c r="G68" s="28"/>
      <c r="H68" s="41"/>
      <c r="I68" s="28"/>
      <c r="J68" s="41"/>
      <c r="K68" s="28"/>
      <c r="L68" s="10"/>
      <c r="M68" s="4"/>
      <c r="N68" s="4"/>
      <c r="O68" s="4"/>
      <c r="P68" s="4"/>
    </row>
    <row r="69" spans="1:18" ht="13.5" thickTop="1">
      <c r="A69" s="9"/>
      <c r="B69" s="22">
        <v>12</v>
      </c>
      <c r="C69" s="23" t="s">
        <v>233</v>
      </c>
      <c r="D69" s="23" t="s">
        <v>25</v>
      </c>
      <c r="E69" s="23" t="s">
        <v>234</v>
      </c>
      <c r="F69" s="24" t="s">
        <v>52</v>
      </c>
      <c r="G69" s="30">
        <f>ROUND(1,3)</f>
        <v>1</v>
      </c>
      <c r="H69" s="42">
        <f>ROUND(0,2)</f>
        <v>0</v>
      </c>
      <c r="I69" s="31">
        <f>ROUND(H69*G69,2)</f>
        <v>0</v>
      </c>
      <c r="J69" s="46" t="s">
        <v>25</v>
      </c>
      <c r="K69" s="31">
        <f>IF(ISNUMBER(J69),ROUND(I69*(J69+1),2),0)</f>
        <v>0</v>
      </c>
      <c r="L69" s="10"/>
      <c r="M69" s="4"/>
      <c r="N69" s="4"/>
      <c r="O69" s="4"/>
      <c r="P69" s="4"/>
      <c r="Q69" s="1">
        <f>IF(ISNUMBER(J69),IF(G69&gt;0,IF(H69&gt;0,I69,0),0),0)</f>
        <v>0</v>
      </c>
      <c r="R69" s="1">
        <f>IF(ISNUMBER(J69)=FALSE,I69,0)</f>
        <v>0</v>
      </c>
    </row>
    <row r="70" spans="1:18">
      <c r="A70" s="9"/>
      <c r="B70" s="283" t="s">
        <v>27</v>
      </c>
      <c r="C70" s="276"/>
      <c r="D70" s="276"/>
      <c r="E70" s="27" t="s">
        <v>25</v>
      </c>
      <c r="F70" s="3"/>
      <c r="G70" s="3"/>
      <c r="H70" s="39"/>
      <c r="I70" s="3"/>
      <c r="J70" s="39"/>
      <c r="K70" s="3"/>
      <c r="L70" s="10"/>
      <c r="M70" s="4"/>
      <c r="N70" s="4"/>
      <c r="O70" s="4"/>
      <c r="P70" s="4"/>
    </row>
    <row r="71" spans="1:18" ht="13.5" thickBot="1">
      <c r="A71" s="9"/>
      <c r="B71" s="281" t="s">
        <v>28</v>
      </c>
      <c r="C71" s="282"/>
      <c r="D71" s="282"/>
      <c r="E71" s="29" t="s">
        <v>25</v>
      </c>
      <c r="F71" s="28"/>
      <c r="G71" s="28"/>
      <c r="H71" s="41"/>
      <c r="I71" s="28"/>
      <c r="J71" s="41"/>
      <c r="K71" s="28"/>
      <c r="L71" s="10"/>
      <c r="M71" s="4"/>
      <c r="N71" s="4"/>
      <c r="O71" s="4"/>
      <c r="P71" s="4"/>
    </row>
    <row r="72" spans="1:18" ht="13.5" thickTop="1">
      <c r="A72" s="9"/>
      <c r="B72" s="22">
        <v>13</v>
      </c>
      <c r="C72" s="23" t="s">
        <v>235</v>
      </c>
      <c r="D72" s="23" t="s">
        <v>25</v>
      </c>
      <c r="E72" s="23" t="s">
        <v>236</v>
      </c>
      <c r="F72" s="24" t="s">
        <v>237</v>
      </c>
      <c r="G72" s="30">
        <f>ROUND(896,3)</f>
        <v>896</v>
      </c>
      <c r="H72" s="42">
        <f>ROUND(0,2)</f>
        <v>0</v>
      </c>
      <c r="I72" s="31">
        <f>ROUND(H72*G72,2)</f>
        <v>0</v>
      </c>
      <c r="J72" s="46" t="s">
        <v>25</v>
      </c>
      <c r="K72" s="31">
        <f>IF(ISNUMBER(J72),ROUND(I72*(J72+1),2),0)</f>
        <v>0</v>
      </c>
      <c r="L72" s="10"/>
      <c r="M72" s="4"/>
      <c r="N72" s="4"/>
      <c r="O72" s="4"/>
      <c r="P72" s="4"/>
      <c r="Q72" s="1">
        <f>IF(ISNUMBER(J72),IF(G72&gt;0,IF(H72&gt;0,I72,0),0),0)</f>
        <v>0</v>
      </c>
      <c r="R72" s="1">
        <f>IF(ISNUMBER(J72)=FALSE,I72,0)</f>
        <v>0</v>
      </c>
    </row>
    <row r="73" spans="1:18">
      <c r="A73" s="9"/>
      <c r="B73" s="283" t="s">
        <v>27</v>
      </c>
      <c r="C73" s="276"/>
      <c r="D73" s="276"/>
      <c r="E73" s="27" t="s">
        <v>25</v>
      </c>
      <c r="F73" s="3"/>
      <c r="G73" s="3"/>
      <c r="H73" s="39"/>
      <c r="I73" s="3"/>
      <c r="J73" s="39"/>
      <c r="K73" s="3"/>
      <c r="L73" s="10"/>
      <c r="M73" s="4"/>
      <c r="N73" s="4"/>
      <c r="O73" s="4"/>
      <c r="P73" s="4"/>
    </row>
    <row r="74" spans="1:18" ht="13.5" thickBot="1">
      <c r="A74" s="9"/>
      <c r="B74" s="281" t="s">
        <v>28</v>
      </c>
      <c r="C74" s="282"/>
      <c r="D74" s="282"/>
      <c r="E74" s="29" t="s">
        <v>25</v>
      </c>
      <c r="F74" s="28"/>
      <c r="G74" s="28"/>
      <c r="H74" s="41"/>
      <c r="I74" s="28"/>
      <c r="J74" s="41"/>
      <c r="K74" s="28"/>
      <c r="L74" s="10"/>
      <c r="M74" s="4"/>
      <c r="N74" s="4"/>
      <c r="O74" s="4"/>
      <c r="P74" s="4"/>
    </row>
    <row r="75" spans="1:18" ht="13.5" thickTop="1">
      <c r="A75" s="9"/>
      <c r="B75" s="22">
        <v>14</v>
      </c>
      <c r="C75" s="23" t="s">
        <v>238</v>
      </c>
      <c r="D75" s="23" t="s">
        <v>25</v>
      </c>
      <c r="E75" s="23" t="s">
        <v>239</v>
      </c>
      <c r="F75" s="24" t="s">
        <v>57</v>
      </c>
      <c r="G75" s="30">
        <f>ROUND(140.25,3)</f>
        <v>140.25</v>
      </c>
      <c r="H75" s="42">
        <f>ROUND(0,2)</f>
        <v>0</v>
      </c>
      <c r="I75" s="31">
        <f>ROUND(H75*G75,2)</f>
        <v>0</v>
      </c>
      <c r="J75" s="46" t="s">
        <v>25</v>
      </c>
      <c r="K75" s="31">
        <f>IF(ISNUMBER(J75),ROUND(I75*(J75+1),2),0)</f>
        <v>0</v>
      </c>
      <c r="L75" s="10"/>
      <c r="M75" s="4"/>
      <c r="N75" s="4"/>
      <c r="O75" s="4"/>
      <c r="P75" s="4"/>
      <c r="Q75" s="1">
        <f>IF(ISNUMBER(J75),IF(G75&gt;0,IF(H75&gt;0,I75,0),0),0)</f>
        <v>0</v>
      </c>
      <c r="R75" s="1">
        <f>IF(ISNUMBER(J75)=FALSE,I75,0)</f>
        <v>0</v>
      </c>
    </row>
    <row r="76" spans="1:18">
      <c r="A76" s="9"/>
      <c r="B76" s="283" t="s">
        <v>27</v>
      </c>
      <c r="C76" s="276"/>
      <c r="D76" s="276"/>
      <c r="E76" s="27" t="s">
        <v>25</v>
      </c>
      <c r="F76" s="3"/>
      <c r="G76" s="3"/>
      <c r="H76" s="39"/>
      <c r="I76" s="3"/>
      <c r="J76" s="39"/>
      <c r="K76" s="3"/>
      <c r="L76" s="10"/>
      <c r="M76" s="4"/>
      <c r="N76" s="4"/>
      <c r="O76" s="4"/>
      <c r="P76" s="4"/>
    </row>
    <row r="77" spans="1:18" ht="13.5" thickBot="1">
      <c r="A77" s="9"/>
      <c r="B77" s="281" t="s">
        <v>28</v>
      </c>
      <c r="C77" s="282"/>
      <c r="D77" s="282"/>
      <c r="E77" s="29" t="s">
        <v>25</v>
      </c>
      <c r="F77" s="28"/>
      <c r="G77" s="28"/>
      <c r="H77" s="41"/>
      <c r="I77" s="28"/>
      <c r="J77" s="41"/>
      <c r="K77" s="28"/>
      <c r="L77" s="10"/>
      <c r="M77" s="4"/>
      <c r="N77" s="4"/>
      <c r="O77" s="4"/>
      <c r="P77" s="4"/>
    </row>
    <row r="78" spans="1:18" ht="13.5" thickTop="1">
      <c r="A78" s="9"/>
      <c r="B78" s="22">
        <v>15</v>
      </c>
      <c r="C78" s="23" t="s">
        <v>240</v>
      </c>
      <c r="D78" s="23" t="s">
        <v>25</v>
      </c>
      <c r="E78" s="23" t="s">
        <v>241</v>
      </c>
      <c r="F78" s="24" t="s">
        <v>57</v>
      </c>
      <c r="G78" s="30">
        <f>ROUND(529.71,3)</f>
        <v>529.71</v>
      </c>
      <c r="H78" s="42">
        <f>ROUND(0,2)</f>
        <v>0</v>
      </c>
      <c r="I78" s="31">
        <f>ROUND(H78*G78,2)</f>
        <v>0</v>
      </c>
      <c r="J78" s="46" t="s">
        <v>25</v>
      </c>
      <c r="K78" s="31">
        <f>IF(ISNUMBER(J78),ROUND(I78*(J78+1),2),0)</f>
        <v>0</v>
      </c>
      <c r="L78" s="10"/>
      <c r="M78" s="4"/>
      <c r="N78" s="4"/>
      <c r="O78" s="4"/>
      <c r="P78" s="4"/>
      <c r="Q78" s="1">
        <f>IF(ISNUMBER(J78),IF(G78&gt;0,IF(H78&gt;0,I78,0),0),0)</f>
        <v>0</v>
      </c>
      <c r="R78" s="1">
        <f>IF(ISNUMBER(J78)=FALSE,I78,0)</f>
        <v>0</v>
      </c>
    </row>
    <row r="79" spans="1:18">
      <c r="A79" s="9"/>
      <c r="B79" s="283" t="s">
        <v>27</v>
      </c>
      <c r="C79" s="276"/>
      <c r="D79" s="276"/>
      <c r="E79" s="27" t="s">
        <v>25</v>
      </c>
      <c r="F79" s="3"/>
      <c r="G79" s="3"/>
      <c r="H79" s="39"/>
      <c r="I79" s="3"/>
      <c r="J79" s="39"/>
      <c r="K79" s="3"/>
      <c r="L79" s="10"/>
      <c r="M79" s="4"/>
      <c r="N79" s="4"/>
      <c r="O79" s="4"/>
      <c r="P79" s="4"/>
    </row>
    <row r="80" spans="1:18" ht="13.5" thickBot="1">
      <c r="A80" s="9"/>
      <c r="B80" s="281" t="s">
        <v>28</v>
      </c>
      <c r="C80" s="282"/>
      <c r="D80" s="282"/>
      <c r="E80" s="29" t="s">
        <v>25</v>
      </c>
      <c r="F80" s="28"/>
      <c r="G80" s="28"/>
      <c r="H80" s="41"/>
      <c r="I80" s="28"/>
      <c r="J80" s="41"/>
      <c r="K80" s="28"/>
      <c r="L80" s="10"/>
      <c r="M80" s="4"/>
      <c r="N80" s="4"/>
      <c r="O80" s="4"/>
      <c r="P80" s="4"/>
    </row>
    <row r="81" spans="1:19" ht="13.5" thickTop="1">
      <c r="A81" s="9"/>
      <c r="B81" s="22">
        <v>16</v>
      </c>
      <c r="C81" s="23" t="s">
        <v>242</v>
      </c>
      <c r="D81" s="23" t="s">
        <v>25</v>
      </c>
      <c r="E81" s="23" t="s">
        <v>243</v>
      </c>
      <c r="F81" s="24" t="s">
        <v>57</v>
      </c>
      <c r="G81" s="30">
        <f>ROUND(529.71,3)</f>
        <v>529.71</v>
      </c>
      <c r="H81" s="42">
        <f>ROUND(0,2)</f>
        <v>0</v>
      </c>
      <c r="I81" s="31">
        <f>ROUND(H81*G81,2)</f>
        <v>0</v>
      </c>
      <c r="J81" s="46" t="s">
        <v>25</v>
      </c>
      <c r="K81" s="31">
        <f>IF(ISNUMBER(J81),ROUND(I81*(J81+1),2),0)</f>
        <v>0</v>
      </c>
      <c r="L81" s="10"/>
      <c r="M81" s="4"/>
      <c r="N81" s="4"/>
      <c r="O81" s="4"/>
      <c r="P81" s="4"/>
      <c r="Q81" s="1">
        <f>IF(ISNUMBER(J81),IF(G81&gt;0,IF(H81&gt;0,I81,0),0),0)</f>
        <v>0</v>
      </c>
      <c r="R81" s="1">
        <f>IF(ISNUMBER(J81)=FALSE,I81,0)</f>
        <v>0</v>
      </c>
    </row>
    <row r="82" spans="1:19">
      <c r="A82" s="9"/>
      <c r="B82" s="283" t="s">
        <v>27</v>
      </c>
      <c r="C82" s="276"/>
      <c r="D82" s="276"/>
      <c r="E82" s="27" t="s">
        <v>25</v>
      </c>
      <c r="F82" s="3"/>
      <c r="G82" s="3"/>
      <c r="H82" s="39"/>
      <c r="I82" s="3"/>
      <c r="J82" s="39"/>
      <c r="K82" s="3"/>
      <c r="L82" s="10"/>
      <c r="M82" s="4"/>
      <c r="N82" s="4"/>
      <c r="O82" s="4"/>
      <c r="P82" s="4"/>
    </row>
    <row r="83" spans="1:19" ht="13.5" thickBot="1">
      <c r="A83" s="9"/>
      <c r="B83" s="281" t="s">
        <v>28</v>
      </c>
      <c r="C83" s="282"/>
      <c r="D83" s="282"/>
      <c r="E83" s="29" t="s">
        <v>25</v>
      </c>
      <c r="F83" s="28"/>
      <c r="G83" s="28"/>
      <c r="H83" s="41"/>
      <c r="I83" s="28"/>
      <c r="J83" s="41"/>
      <c r="K83" s="28"/>
      <c r="L83" s="10"/>
      <c r="M83" s="4"/>
      <c r="N83" s="4"/>
      <c r="O83" s="4"/>
      <c r="P83" s="4"/>
    </row>
    <row r="84" spans="1:19" ht="13.5" thickTop="1">
      <c r="A84" s="9"/>
      <c r="B84" s="22">
        <v>17</v>
      </c>
      <c r="C84" s="23" t="s">
        <v>244</v>
      </c>
      <c r="D84" s="23" t="s">
        <v>25</v>
      </c>
      <c r="E84" s="23" t="s">
        <v>245</v>
      </c>
      <c r="F84" s="24" t="s">
        <v>57</v>
      </c>
      <c r="G84" s="30">
        <f>ROUND(412.95,3)</f>
        <v>412.95</v>
      </c>
      <c r="H84" s="42">
        <f>ROUND(0,2)</f>
        <v>0</v>
      </c>
      <c r="I84" s="31">
        <f>ROUND(H84*G84,2)</f>
        <v>0</v>
      </c>
      <c r="J84" s="46" t="s">
        <v>25</v>
      </c>
      <c r="K84" s="31">
        <f>IF(ISNUMBER(J84),ROUND(I84*(J84+1),2),0)</f>
        <v>0</v>
      </c>
      <c r="L84" s="10"/>
      <c r="M84" s="4"/>
      <c r="N84" s="4"/>
      <c r="O84" s="4"/>
      <c r="P84" s="4"/>
      <c r="Q84" s="1">
        <f>IF(ISNUMBER(J84),IF(G84&gt;0,IF(H84&gt;0,I84,0),0),0)</f>
        <v>0</v>
      </c>
      <c r="R84" s="1">
        <f>IF(ISNUMBER(J84)=FALSE,I84,0)</f>
        <v>0</v>
      </c>
    </row>
    <row r="85" spans="1:19">
      <c r="A85" s="9"/>
      <c r="B85" s="283" t="s">
        <v>27</v>
      </c>
      <c r="C85" s="276"/>
      <c r="D85" s="276"/>
      <c r="E85" s="27" t="s">
        <v>25</v>
      </c>
      <c r="F85" s="3"/>
      <c r="G85" s="3"/>
      <c r="H85" s="39"/>
      <c r="I85" s="3"/>
      <c r="J85" s="39"/>
      <c r="K85" s="3"/>
      <c r="L85" s="10"/>
      <c r="M85" s="4"/>
      <c r="N85" s="4"/>
      <c r="O85" s="4"/>
      <c r="P85" s="4"/>
    </row>
    <row r="86" spans="1:19" ht="13.5" thickBot="1">
      <c r="A86" s="9"/>
      <c r="B86" s="281" t="s">
        <v>28</v>
      </c>
      <c r="C86" s="282"/>
      <c r="D86" s="282"/>
      <c r="E86" s="29" t="s">
        <v>25</v>
      </c>
      <c r="F86" s="28"/>
      <c r="G86" s="28"/>
      <c r="H86" s="41"/>
      <c r="I86" s="28"/>
      <c r="J86" s="41"/>
      <c r="K86" s="28"/>
      <c r="L86" s="10"/>
      <c r="M86" s="4"/>
      <c r="N86" s="4"/>
      <c r="O86" s="4"/>
      <c r="P86" s="4"/>
    </row>
    <row r="87" spans="1:19" ht="13.5" thickTop="1">
      <c r="A87" s="9"/>
      <c r="B87" s="22">
        <v>18</v>
      </c>
      <c r="C87" s="23" t="s">
        <v>107</v>
      </c>
      <c r="D87" s="23" t="s">
        <v>25</v>
      </c>
      <c r="E87" s="23" t="s">
        <v>108</v>
      </c>
      <c r="F87" s="24" t="s">
        <v>49</v>
      </c>
      <c r="G87" s="30">
        <f>ROUND(663.98,3)</f>
        <v>663.98</v>
      </c>
      <c r="H87" s="42">
        <f>ROUND(0,2)</f>
        <v>0</v>
      </c>
      <c r="I87" s="31">
        <f>ROUND(H87*G87,2)</f>
        <v>0</v>
      </c>
      <c r="J87" s="46" t="s">
        <v>25</v>
      </c>
      <c r="K87" s="31">
        <f>IF(ISNUMBER(J87),ROUND(I87*(J87+1),2),0)</f>
        <v>0</v>
      </c>
      <c r="L87" s="10"/>
      <c r="M87" s="4"/>
      <c r="N87" s="4"/>
      <c r="O87" s="4"/>
      <c r="P87" s="4"/>
      <c r="Q87" s="1">
        <f>IF(ISNUMBER(J87),IF(G87&gt;0,IF(H87&gt;0,I87,0),0),0)</f>
        <v>0</v>
      </c>
      <c r="R87" s="1">
        <f>IF(ISNUMBER(J87)=FALSE,I87,0)</f>
        <v>0</v>
      </c>
    </row>
    <row r="88" spans="1:19">
      <c r="A88" s="9"/>
      <c r="B88" s="283" t="s">
        <v>27</v>
      </c>
      <c r="C88" s="276"/>
      <c r="D88" s="276"/>
      <c r="E88" s="27" t="s">
        <v>25</v>
      </c>
      <c r="F88" s="3"/>
      <c r="G88" s="3"/>
      <c r="H88" s="39"/>
      <c r="I88" s="3"/>
      <c r="J88" s="39"/>
      <c r="K88" s="3"/>
      <c r="L88" s="10"/>
      <c r="M88" s="4"/>
      <c r="N88" s="4"/>
      <c r="O88" s="4"/>
      <c r="P88" s="4"/>
    </row>
    <row r="89" spans="1:19" ht="13.5" thickBot="1">
      <c r="A89" s="9"/>
      <c r="B89" s="281" t="s">
        <v>28</v>
      </c>
      <c r="C89" s="282"/>
      <c r="D89" s="282"/>
      <c r="E89" s="29" t="s">
        <v>25</v>
      </c>
      <c r="F89" s="28"/>
      <c r="G89" s="28"/>
      <c r="H89" s="41"/>
      <c r="I89" s="28"/>
      <c r="J89" s="41"/>
      <c r="K89" s="28"/>
      <c r="L89" s="10"/>
      <c r="M89" s="4"/>
      <c r="N89" s="4"/>
      <c r="O89" s="4"/>
      <c r="P89" s="4"/>
    </row>
    <row r="90" spans="1:19" ht="24.95" customHeight="1" thickTop="1" thickBot="1">
      <c r="A90" s="9"/>
      <c r="B90" s="32"/>
      <c r="C90" s="33">
        <v>1</v>
      </c>
      <c r="D90" s="32"/>
      <c r="E90" s="34" t="s">
        <v>72</v>
      </c>
      <c r="F90" s="35" t="s">
        <v>44</v>
      </c>
      <c r="G90" s="36">
        <f>I66+I69+I72+I75+I78+I81+I84+I87</f>
        <v>0</v>
      </c>
      <c r="H90" s="43" t="s">
        <v>45</v>
      </c>
      <c r="I90" s="37">
        <f>IF(COUNT(J66:J90)&gt;0,AVERAGE(J66:J90),0.21)</f>
        <v>0.21</v>
      </c>
      <c r="J90" s="43" t="s">
        <v>46</v>
      </c>
      <c r="K90" s="36">
        <f>ROUND(Q90*(1+I90),2)+R90</f>
        <v>0</v>
      </c>
      <c r="L90" s="10"/>
      <c r="M90" s="4"/>
      <c r="N90" s="4"/>
      <c r="O90" s="4"/>
      <c r="P90" s="4"/>
      <c r="Q90" s="1">
        <f>0+Q66+Q69+Q72+Q75+Q78+Q81+Q84+Q87</f>
        <v>0</v>
      </c>
      <c r="R90" s="1">
        <f>0+R66+R69+R72+R75+R78+R81+R84+R87</f>
        <v>0</v>
      </c>
      <c r="S90" s="2">
        <f>Q90*(1+I90)+R90</f>
        <v>0</v>
      </c>
    </row>
    <row r="91" spans="1:19" ht="39.950000000000003" customHeight="1">
      <c r="A91" s="9"/>
      <c r="B91" s="284" t="s">
        <v>117</v>
      </c>
      <c r="C91" s="276"/>
      <c r="D91" s="276"/>
      <c r="E91" s="285"/>
      <c r="F91" s="276"/>
      <c r="G91" s="276"/>
      <c r="H91" s="286"/>
      <c r="I91" s="276"/>
      <c r="J91" s="286"/>
      <c r="K91" s="276"/>
      <c r="L91" s="10"/>
      <c r="M91" s="4"/>
      <c r="N91" s="4"/>
      <c r="O91" s="4"/>
      <c r="P91" s="4"/>
    </row>
    <row r="92" spans="1:19">
      <c r="A92" s="9"/>
      <c r="B92" s="22">
        <v>19</v>
      </c>
      <c r="C92" s="23" t="s">
        <v>246</v>
      </c>
      <c r="D92" s="23" t="s">
        <v>185</v>
      </c>
      <c r="E92" s="23" t="s">
        <v>247</v>
      </c>
      <c r="F92" s="24" t="s">
        <v>64</v>
      </c>
      <c r="G92" s="25">
        <f>ROUND(1070.6,3)</f>
        <v>1070.5999999999999</v>
      </c>
      <c r="H92" s="40">
        <f>ROUND(0,2)</f>
        <v>0</v>
      </c>
      <c r="I92" s="26">
        <f>ROUND(H92*G92,2)</f>
        <v>0</v>
      </c>
      <c r="J92" s="45" t="s">
        <v>25</v>
      </c>
      <c r="K92" s="26">
        <f>IF(ISNUMBER(J92),ROUND(I92*(J92+1),2),0)</f>
        <v>0</v>
      </c>
      <c r="L92" s="10"/>
      <c r="M92" s="4"/>
      <c r="N92" s="4"/>
      <c r="O92" s="4"/>
      <c r="P92" s="4"/>
      <c r="Q92" s="1">
        <f>IF(ISNUMBER(J92),IF(G92&gt;0,IF(H92&gt;0,I92,0),0),0)</f>
        <v>0</v>
      </c>
      <c r="R92" s="1">
        <f>IF(ISNUMBER(J92)=FALSE,I92,0)</f>
        <v>0</v>
      </c>
    </row>
    <row r="93" spans="1:19">
      <c r="A93" s="9"/>
      <c r="B93" s="283" t="s">
        <v>27</v>
      </c>
      <c r="C93" s="276"/>
      <c r="D93" s="276"/>
      <c r="E93" s="27" t="s">
        <v>25</v>
      </c>
      <c r="F93" s="3"/>
      <c r="G93" s="3"/>
      <c r="H93" s="39"/>
      <c r="I93" s="3"/>
      <c r="J93" s="39"/>
      <c r="K93" s="3"/>
      <c r="L93" s="10"/>
      <c r="M93" s="4"/>
      <c r="N93" s="4"/>
      <c r="O93" s="4"/>
      <c r="P93" s="4"/>
    </row>
    <row r="94" spans="1:19" ht="13.5" thickBot="1">
      <c r="A94" s="9"/>
      <c r="B94" s="281" t="s">
        <v>28</v>
      </c>
      <c r="C94" s="282"/>
      <c r="D94" s="282"/>
      <c r="E94" s="29" t="s">
        <v>25</v>
      </c>
      <c r="F94" s="28"/>
      <c r="G94" s="28"/>
      <c r="H94" s="41"/>
      <c r="I94" s="28"/>
      <c r="J94" s="41"/>
      <c r="K94" s="28"/>
      <c r="L94" s="10"/>
      <c r="M94" s="4"/>
      <c r="N94" s="4"/>
      <c r="O94" s="4"/>
      <c r="P94" s="4"/>
    </row>
    <row r="95" spans="1:19" ht="13.5" thickTop="1">
      <c r="A95" s="9"/>
      <c r="B95" s="22">
        <v>20</v>
      </c>
      <c r="C95" s="23" t="s">
        <v>248</v>
      </c>
      <c r="D95" s="23" t="s">
        <v>249</v>
      </c>
      <c r="E95" s="23" t="s">
        <v>250</v>
      </c>
      <c r="F95" s="24" t="s">
        <v>64</v>
      </c>
      <c r="G95" s="30">
        <f>ROUND(307.65,3)</f>
        <v>307.64999999999998</v>
      </c>
      <c r="H95" s="42">
        <f>ROUND(0,2)</f>
        <v>0</v>
      </c>
      <c r="I95" s="31">
        <f>ROUND(H95*G95,2)</f>
        <v>0</v>
      </c>
      <c r="J95" s="46" t="s">
        <v>25</v>
      </c>
      <c r="K95" s="31">
        <f>IF(ISNUMBER(J95),ROUND(I95*(J95+1),2),0)</f>
        <v>0</v>
      </c>
      <c r="L95" s="10"/>
      <c r="M95" s="4"/>
      <c r="N95" s="4"/>
      <c r="O95" s="4"/>
      <c r="P95" s="4"/>
      <c r="Q95" s="1">
        <f>IF(ISNUMBER(J95),IF(G95&gt;0,IF(H95&gt;0,I95,0),0),0)</f>
        <v>0</v>
      </c>
      <c r="R95" s="1">
        <f>IF(ISNUMBER(J95)=FALSE,I95,0)</f>
        <v>0</v>
      </c>
    </row>
    <row r="96" spans="1:19">
      <c r="A96" s="9"/>
      <c r="B96" s="283" t="s">
        <v>27</v>
      </c>
      <c r="C96" s="276"/>
      <c r="D96" s="276"/>
      <c r="E96" s="27" t="s">
        <v>25</v>
      </c>
      <c r="F96" s="3"/>
      <c r="G96" s="3"/>
      <c r="H96" s="39"/>
      <c r="I96" s="3"/>
      <c r="J96" s="39"/>
      <c r="K96" s="3"/>
      <c r="L96" s="10"/>
      <c r="M96" s="4"/>
      <c r="N96" s="4"/>
      <c r="O96" s="4"/>
      <c r="P96" s="4"/>
    </row>
    <row r="97" spans="1:18" ht="13.5" thickBot="1">
      <c r="A97" s="9"/>
      <c r="B97" s="281" t="s">
        <v>28</v>
      </c>
      <c r="C97" s="282"/>
      <c r="D97" s="282"/>
      <c r="E97" s="29" t="s">
        <v>25</v>
      </c>
      <c r="F97" s="28"/>
      <c r="G97" s="28"/>
      <c r="H97" s="41"/>
      <c r="I97" s="28"/>
      <c r="J97" s="41"/>
      <c r="K97" s="28"/>
      <c r="L97" s="10"/>
      <c r="M97" s="4"/>
      <c r="N97" s="4"/>
      <c r="O97" s="4"/>
      <c r="P97" s="4"/>
    </row>
    <row r="98" spans="1:18" ht="13.5" thickTop="1">
      <c r="A98" s="9"/>
      <c r="B98" s="22">
        <v>21</v>
      </c>
      <c r="C98" s="23" t="s">
        <v>248</v>
      </c>
      <c r="D98" s="23" t="s">
        <v>251</v>
      </c>
      <c r="E98" s="23" t="s">
        <v>250</v>
      </c>
      <c r="F98" s="24" t="s">
        <v>64</v>
      </c>
      <c r="G98" s="30">
        <f>ROUND(56.6,3)</f>
        <v>56.6</v>
      </c>
      <c r="H98" s="42">
        <f>ROUND(0,2)</f>
        <v>0</v>
      </c>
      <c r="I98" s="31">
        <f>ROUND(H98*G98,2)</f>
        <v>0</v>
      </c>
      <c r="J98" s="46" t="s">
        <v>25</v>
      </c>
      <c r="K98" s="31">
        <f>IF(ISNUMBER(J98),ROUND(I98*(J98+1),2),0)</f>
        <v>0</v>
      </c>
      <c r="L98" s="10"/>
      <c r="M98" s="4"/>
      <c r="N98" s="4"/>
      <c r="O98" s="4"/>
      <c r="P98" s="4"/>
      <c r="Q98" s="1">
        <f>IF(ISNUMBER(J98),IF(G98&gt;0,IF(H98&gt;0,I98,0),0),0)</f>
        <v>0</v>
      </c>
      <c r="R98" s="1">
        <f>IF(ISNUMBER(J98)=FALSE,I98,0)</f>
        <v>0</v>
      </c>
    </row>
    <row r="99" spans="1:18">
      <c r="A99" s="9"/>
      <c r="B99" s="283" t="s">
        <v>27</v>
      </c>
      <c r="C99" s="276"/>
      <c r="D99" s="276"/>
      <c r="E99" s="27" t="s">
        <v>252</v>
      </c>
      <c r="F99" s="3"/>
      <c r="G99" s="3"/>
      <c r="H99" s="39"/>
      <c r="I99" s="3"/>
      <c r="J99" s="39"/>
      <c r="K99" s="3"/>
      <c r="L99" s="10"/>
      <c r="M99" s="4"/>
      <c r="N99" s="4"/>
      <c r="O99" s="4"/>
      <c r="P99" s="4"/>
    </row>
    <row r="100" spans="1:18" ht="13.5" thickBot="1">
      <c r="A100" s="9"/>
      <c r="B100" s="281" t="s">
        <v>28</v>
      </c>
      <c r="C100" s="282"/>
      <c r="D100" s="282"/>
      <c r="E100" s="29" t="s">
        <v>25</v>
      </c>
      <c r="F100" s="28"/>
      <c r="G100" s="28"/>
      <c r="H100" s="41"/>
      <c r="I100" s="28"/>
      <c r="J100" s="41"/>
      <c r="K100" s="28"/>
      <c r="L100" s="10"/>
      <c r="M100" s="4"/>
      <c r="N100" s="4"/>
      <c r="O100" s="4"/>
      <c r="P100" s="4"/>
    </row>
    <row r="101" spans="1:18" ht="13.5" thickTop="1">
      <c r="A101" s="9"/>
      <c r="B101" s="22">
        <v>22</v>
      </c>
      <c r="C101" s="23" t="s">
        <v>253</v>
      </c>
      <c r="D101" s="23" t="s">
        <v>185</v>
      </c>
      <c r="E101" s="23" t="s">
        <v>254</v>
      </c>
      <c r="F101" s="24" t="s">
        <v>64</v>
      </c>
      <c r="G101" s="30">
        <f>ROUND(706.35,3)</f>
        <v>706.35</v>
      </c>
      <c r="H101" s="42">
        <f>ROUND(0,2)</f>
        <v>0</v>
      </c>
      <c r="I101" s="31">
        <f>ROUND(H101*G101,2)</f>
        <v>0</v>
      </c>
      <c r="J101" s="46" t="s">
        <v>25</v>
      </c>
      <c r="K101" s="31">
        <f>IF(ISNUMBER(J101),ROUND(I101*(J101+1),2),0)</f>
        <v>0</v>
      </c>
      <c r="L101" s="10"/>
      <c r="M101" s="4"/>
      <c r="N101" s="4"/>
      <c r="O101" s="4"/>
      <c r="P101" s="4"/>
      <c r="Q101" s="1">
        <f>IF(ISNUMBER(J101),IF(G101&gt;0,IF(H101&gt;0,I101,0),0),0)</f>
        <v>0</v>
      </c>
      <c r="R101" s="1">
        <f>IF(ISNUMBER(J101)=FALSE,I101,0)</f>
        <v>0</v>
      </c>
    </row>
    <row r="102" spans="1:18">
      <c r="A102" s="9"/>
      <c r="B102" s="283" t="s">
        <v>27</v>
      </c>
      <c r="C102" s="276"/>
      <c r="D102" s="276"/>
      <c r="E102" s="27" t="s">
        <v>25</v>
      </c>
      <c r="F102" s="3"/>
      <c r="G102" s="3"/>
      <c r="H102" s="39"/>
      <c r="I102" s="3"/>
      <c r="J102" s="39"/>
      <c r="K102" s="3"/>
      <c r="L102" s="10"/>
      <c r="M102" s="4"/>
      <c r="N102" s="4"/>
      <c r="O102" s="4"/>
      <c r="P102" s="4"/>
    </row>
    <row r="103" spans="1:18" ht="13.5" thickBot="1">
      <c r="A103" s="9"/>
      <c r="B103" s="281" t="s">
        <v>28</v>
      </c>
      <c r="C103" s="282"/>
      <c r="D103" s="282"/>
      <c r="E103" s="29" t="s">
        <v>25</v>
      </c>
      <c r="F103" s="28"/>
      <c r="G103" s="28"/>
      <c r="H103" s="41"/>
      <c r="I103" s="28"/>
      <c r="J103" s="41"/>
      <c r="K103" s="28"/>
      <c r="L103" s="10"/>
      <c r="M103" s="4"/>
      <c r="N103" s="4"/>
      <c r="O103" s="4"/>
      <c r="P103" s="4"/>
    </row>
    <row r="104" spans="1:18" ht="13.5" thickTop="1">
      <c r="A104" s="9"/>
      <c r="B104" s="22">
        <v>23</v>
      </c>
      <c r="C104" s="23" t="s">
        <v>255</v>
      </c>
      <c r="D104" s="23" t="s">
        <v>25</v>
      </c>
      <c r="E104" s="23" t="s">
        <v>256</v>
      </c>
      <c r="F104" s="24" t="s">
        <v>64</v>
      </c>
      <c r="G104" s="30">
        <f>ROUND(12,3)</f>
        <v>12</v>
      </c>
      <c r="H104" s="42">
        <f>ROUND(0,2)</f>
        <v>0</v>
      </c>
      <c r="I104" s="31">
        <f>ROUND(H104*G104,2)</f>
        <v>0</v>
      </c>
      <c r="J104" s="46" t="s">
        <v>25</v>
      </c>
      <c r="K104" s="31">
        <f>IF(ISNUMBER(J104),ROUND(I104*(J104+1),2),0)</f>
        <v>0</v>
      </c>
      <c r="L104" s="10"/>
      <c r="M104" s="4"/>
      <c r="N104" s="4"/>
      <c r="O104" s="4"/>
      <c r="P104" s="4"/>
      <c r="Q104" s="1">
        <f>IF(ISNUMBER(J104),IF(G104&gt;0,IF(H104&gt;0,I104,0),0),0)</f>
        <v>0</v>
      </c>
      <c r="R104" s="1">
        <f>IF(ISNUMBER(J104)=FALSE,I104,0)</f>
        <v>0</v>
      </c>
    </row>
    <row r="105" spans="1:18">
      <c r="A105" s="9"/>
      <c r="B105" s="283" t="s">
        <v>27</v>
      </c>
      <c r="C105" s="276"/>
      <c r="D105" s="276"/>
      <c r="E105" s="27" t="s">
        <v>257</v>
      </c>
      <c r="F105" s="3"/>
      <c r="G105" s="3"/>
      <c r="H105" s="39"/>
      <c r="I105" s="3"/>
      <c r="J105" s="39"/>
      <c r="K105" s="3"/>
      <c r="L105" s="10"/>
      <c r="M105" s="4"/>
      <c r="N105" s="4"/>
      <c r="O105" s="4"/>
      <c r="P105" s="4"/>
    </row>
    <row r="106" spans="1:18" ht="13.5" thickBot="1">
      <c r="A106" s="9"/>
      <c r="B106" s="281" t="s">
        <v>28</v>
      </c>
      <c r="C106" s="282"/>
      <c r="D106" s="282"/>
      <c r="E106" s="29" t="s">
        <v>25</v>
      </c>
      <c r="F106" s="28"/>
      <c r="G106" s="28"/>
      <c r="H106" s="41"/>
      <c r="I106" s="28"/>
      <c r="J106" s="41"/>
      <c r="K106" s="28"/>
      <c r="L106" s="10"/>
      <c r="M106" s="4"/>
      <c r="N106" s="4"/>
      <c r="O106" s="4"/>
      <c r="P106" s="4"/>
    </row>
    <row r="107" spans="1:18" ht="13.5" thickTop="1">
      <c r="A107" s="9"/>
      <c r="B107" s="22">
        <v>24</v>
      </c>
      <c r="C107" s="23" t="s">
        <v>258</v>
      </c>
      <c r="D107" s="23" t="s">
        <v>249</v>
      </c>
      <c r="E107" s="23" t="s">
        <v>259</v>
      </c>
      <c r="F107" s="24" t="s">
        <v>57</v>
      </c>
      <c r="G107" s="30">
        <f>ROUND(7.24,3)</f>
        <v>7.24</v>
      </c>
      <c r="H107" s="42">
        <f>ROUND(0,2)</f>
        <v>0</v>
      </c>
      <c r="I107" s="31">
        <f>ROUND(H107*G107,2)</f>
        <v>0</v>
      </c>
      <c r="J107" s="46" t="s">
        <v>25</v>
      </c>
      <c r="K107" s="31">
        <f>IF(ISNUMBER(J107),ROUND(I107*(J107+1),2),0)</f>
        <v>0</v>
      </c>
      <c r="L107" s="10"/>
      <c r="M107" s="4"/>
      <c r="N107" s="4"/>
      <c r="O107" s="4"/>
      <c r="P107" s="4"/>
      <c r="Q107" s="1">
        <f>IF(ISNUMBER(J107),IF(G107&gt;0,IF(H107&gt;0,I107,0),0),0)</f>
        <v>0</v>
      </c>
      <c r="R107" s="1">
        <f>IF(ISNUMBER(J107)=FALSE,I107,0)</f>
        <v>0</v>
      </c>
    </row>
    <row r="108" spans="1:18">
      <c r="A108" s="9"/>
      <c r="B108" s="283" t="s">
        <v>27</v>
      </c>
      <c r="C108" s="276"/>
      <c r="D108" s="276"/>
      <c r="E108" s="27" t="s">
        <v>260</v>
      </c>
      <c r="F108" s="3"/>
      <c r="G108" s="3"/>
      <c r="H108" s="39"/>
      <c r="I108" s="3"/>
      <c r="J108" s="39"/>
      <c r="K108" s="3"/>
      <c r="L108" s="10"/>
      <c r="M108" s="4"/>
      <c r="N108" s="4"/>
      <c r="O108" s="4"/>
      <c r="P108" s="4"/>
    </row>
    <row r="109" spans="1:18" ht="13.5" thickBot="1">
      <c r="A109" s="9"/>
      <c r="B109" s="281" t="s">
        <v>28</v>
      </c>
      <c r="C109" s="282"/>
      <c r="D109" s="282"/>
      <c r="E109" s="29" t="s">
        <v>25</v>
      </c>
      <c r="F109" s="28"/>
      <c r="G109" s="28"/>
      <c r="H109" s="41"/>
      <c r="I109" s="28"/>
      <c r="J109" s="41"/>
      <c r="K109" s="28"/>
      <c r="L109" s="10"/>
      <c r="M109" s="4"/>
      <c r="N109" s="4"/>
      <c r="O109" s="4"/>
      <c r="P109" s="4"/>
    </row>
    <row r="110" spans="1:18" ht="13.5" thickTop="1">
      <c r="A110" s="9"/>
      <c r="B110" s="22">
        <v>25</v>
      </c>
      <c r="C110" s="23" t="s">
        <v>258</v>
      </c>
      <c r="D110" s="23" t="s">
        <v>251</v>
      </c>
      <c r="E110" s="23" t="s">
        <v>259</v>
      </c>
      <c r="F110" s="24" t="s">
        <v>57</v>
      </c>
      <c r="G110" s="30">
        <f>ROUND(102.26,3)</f>
        <v>102.26</v>
      </c>
      <c r="H110" s="42">
        <f>ROUND(0,2)</f>
        <v>0</v>
      </c>
      <c r="I110" s="31">
        <f>ROUND(H110*G110,2)</f>
        <v>0</v>
      </c>
      <c r="J110" s="46" t="s">
        <v>25</v>
      </c>
      <c r="K110" s="31">
        <f>IF(ISNUMBER(J110),ROUND(I110*(J110+1),2),0)</f>
        <v>0</v>
      </c>
      <c r="L110" s="10"/>
      <c r="M110" s="4"/>
      <c r="N110" s="4"/>
      <c r="O110" s="4"/>
      <c r="P110" s="4"/>
      <c r="Q110" s="1">
        <f>IF(ISNUMBER(J110),IF(G110&gt;0,IF(H110&gt;0,I110,0),0),0)</f>
        <v>0</v>
      </c>
      <c r="R110" s="1">
        <f>IF(ISNUMBER(J110)=FALSE,I110,0)</f>
        <v>0</v>
      </c>
    </row>
    <row r="111" spans="1:18">
      <c r="A111" s="9"/>
      <c r="B111" s="283" t="s">
        <v>27</v>
      </c>
      <c r="C111" s="276"/>
      <c r="D111" s="276"/>
      <c r="E111" s="27" t="s">
        <v>261</v>
      </c>
      <c r="F111" s="3"/>
      <c r="G111" s="3"/>
      <c r="H111" s="39"/>
      <c r="I111" s="3"/>
      <c r="J111" s="39"/>
      <c r="K111" s="3"/>
      <c r="L111" s="10"/>
      <c r="M111" s="4"/>
      <c r="N111" s="4"/>
      <c r="O111" s="4"/>
      <c r="P111" s="4"/>
    </row>
    <row r="112" spans="1:18" ht="13.5" thickBot="1">
      <c r="A112" s="9"/>
      <c r="B112" s="281" t="s">
        <v>28</v>
      </c>
      <c r="C112" s="282"/>
      <c r="D112" s="282"/>
      <c r="E112" s="29" t="s">
        <v>25</v>
      </c>
      <c r="F112" s="28"/>
      <c r="G112" s="28"/>
      <c r="H112" s="41"/>
      <c r="I112" s="28"/>
      <c r="J112" s="41"/>
      <c r="K112" s="28"/>
      <c r="L112" s="10"/>
      <c r="M112" s="4"/>
      <c r="N112" s="4"/>
      <c r="O112" s="4"/>
      <c r="P112" s="4"/>
    </row>
    <row r="113" spans="1:19" ht="13.5" thickTop="1">
      <c r="A113" s="9"/>
      <c r="B113" s="22">
        <v>26</v>
      </c>
      <c r="C113" s="23" t="s">
        <v>258</v>
      </c>
      <c r="D113" s="23" t="s">
        <v>262</v>
      </c>
      <c r="E113" s="23" t="s">
        <v>259</v>
      </c>
      <c r="F113" s="24" t="s">
        <v>57</v>
      </c>
      <c r="G113" s="30">
        <f>ROUND(12.78,3)</f>
        <v>12.78</v>
      </c>
      <c r="H113" s="42">
        <f>ROUND(0,2)</f>
        <v>0</v>
      </c>
      <c r="I113" s="31">
        <f>ROUND(H113*G113,2)</f>
        <v>0</v>
      </c>
      <c r="J113" s="46" t="s">
        <v>25</v>
      </c>
      <c r="K113" s="31">
        <f>IF(ISNUMBER(J113),ROUND(I113*(J113+1),2),0)</f>
        <v>0</v>
      </c>
      <c r="L113" s="10"/>
      <c r="M113" s="4"/>
      <c r="N113" s="4"/>
      <c r="O113" s="4"/>
      <c r="P113" s="4"/>
      <c r="Q113" s="1">
        <f>IF(ISNUMBER(J113),IF(G113&gt;0,IF(H113&gt;0,I113,0),0),0)</f>
        <v>0</v>
      </c>
      <c r="R113" s="1">
        <f>IF(ISNUMBER(J113)=FALSE,I113,0)</f>
        <v>0</v>
      </c>
    </row>
    <row r="114" spans="1:19">
      <c r="A114" s="9"/>
      <c r="B114" s="283" t="s">
        <v>27</v>
      </c>
      <c r="C114" s="276"/>
      <c r="D114" s="276"/>
      <c r="E114" s="27" t="s">
        <v>263</v>
      </c>
      <c r="F114" s="3"/>
      <c r="G114" s="3"/>
      <c r="H114" s="39"/>
      <c r="I114" s="3"/>
      <c r="J114" s="39"/>
      <c r="K114" s="3"/>
      <c r="L114" s="10"/>
      <c r="M114" s="4"/>
      <c r="N114" s="4"/>
      <c r="O114" s="4"/>
      <c r="P114" s="4"/>
    </row>
    <row r="115" spans="1:19" ht="13.5" thickBot="1">
      <c r="A115" s="9"/>
      <c r="B115" s="281" t="s">
        <v>28</v>
      </c>
      <c r="C115" s="282"/>
      <c r="D115" s="282"/>
      <c r="E115" s="29" t="s">
        <v>25</v>
      </c>
      <c r="F115" s="28"/>
      <c r="G115" s="28"/>
      <c r="H115" s="41"/>
      <c r="I115" s="28"/>
      <c r="J115" s="41"/>
      <c r="K115" s="28"/>
      <c r="L115" s="10"/>
      <c r="M115" s="4"/>
      <c r="N115" s="4"/>
      <c r="O115" s="4"/>
      <c r="P115" s="4"/>
    </row>
    <row r="116" spans="1:19" ht="13.5" thickTop="1">
      <c r="A116" s="9"/>
      <c r="B116" s="22">
        <v>27</v>
      </c>
      <c r="C116" s="23" t="s">
        <v>264</v>
      </c>
      <c r="D116" s="23" t="s">
        <v>25</v>
      </c>
      <c r="E116" s="23" t="s">
        <v>265</v>
      </c>
      <c r="F116" s="24" t="s">
        <v>24</v>
      </c>
      <c r="G116" s="30">
        <f>ROUND(29.724,3)</f>
        <v>29.724</v>
      </c>
      <c r="H116" s="42">
        <f>ROUND(0,2)</f>
        <v>0</v>
      </c>
      <c r="I116" s="31">
        <f>ROUND(H116*G116,2)</f>
        <v>0</v>
      </c>
      <c r="J116" s="46" t="s">
        <v>25</v>
      </c>
      <c r="K116" s="31">
        <f>IF(ISNUMBER(J116),ROUND(I116*(J116+1),2),0)</f>
        <v>0</v>
      </c>
      <c r="L116" s="10"/>
      <c r="M116" s="4"/>
      <c r="N116" s="4"/>
      <c r="O116" s="4"/>
      <c r="P116" s="4"/>
      <c r="Q116" s="1">
        <f>IF(ISNUMBER(J116),IF(G116&gt;0,IF(H116&gt;0,I116,0),0),0)</f>
        <v>0</v>
      </c>
      <c r="R116" s="1">
        <f>IF(ISNUMBER(J116)=FALSE,I116,0)</f>
        <v>0</v>
      </c>
    </row>
    <row r="117" spans="1:19" ht="25.5">
      <c r="A117" s="9"/>
      <c r="B117" s="283" t="s">
        <v>27</v>
      </c>
      <c r="C117" s="276"/>
      <c r="D117" s="276"/>
      <c r="E117" s="27" t="s">
        <v>266</v>
      </c>
      <c r="F117" s="3"/>
      <c r="G117" s="3"/>
      <c r="H117" s="39"/>
      <c r="I117" s="3"/>
      <c r="J117" s="39"/>
      <c r="K117" s="3"/>
      <c r="L117" s="10"/>
      <c r="M117" s="4"/>
      <c r="N117" s="4"/>
      <c r="O117" s="4"/>
      <c r="P117" s="4"/>
    </row>
    <row r="118" spans="1:19" ht="13.5" thickBot="1">
      <c r="A118" s="9"/>
      <c r="B118" s="281" t="s">
        <v>28</v>
      </c>
      <c r="C118" s="282"/>
      <c r="D118" s="282"/>
      <c r="E118" s="29" t="s">
        <v>25</v>
      </c>
      <c r="F118" s="28"/>
      <c r="G118" s="28"/>
      <c r="H118" s="41"/>
      <c r="I118" s="28"/>
      <c r="J118" s="41"/>
      <c r="K118" s="28"/>
      <c r="L118" s="10"/>
      <c r="M118" s="4"/>
      <c r="N118" s="4"/>
      <c r="O118" s="4"/>
      <c r="P118" s="4"/>
    </row>
    <row r="119" spans="1:19" ht="13.5" thickTop="1">
      <c r="A119" s="9"/>
      <c r="B119" s="22">
        <v>28</v>
      </c>
      <c r="C119" s="23" t="s">
        <v>267</v>
      </c>
      <c r="D119" s="23" t="s">
        <v>185</v>
      </c>
      <c r="E119" s="23" t="s">
        <v>268</v>
      </c>
      <c r="F119" s="24" t="s">
        <v>52</v>
      </c>
      <c r="G119" s="30">
        <f>ROUND(216,3)</f>
        <v>216</v>
      </c>
      <c r="H119" s="42">
        <f>ROUND(0,2)</f>
        <v>0</v>
      </c>
      <c r="I119" s="31">
        <f>ROUND(H119*G119,2)</f>
        <v>0</v>
      </c>
      <c r="J119" s="46" t="s">
        <v>25</v>
      </c>
      <c r="K119" s="31">
        <f>IF(ISNUMBER(J119),ROUND(I119*(J119+1),2),0)</f>
        <v>0</v>
      </c>
      <c r="L119" s="10"/>
      <c r="M119" s="4"/>
      <c r="N119" s="4"/>
      <c r="O119" s="4"/>
      <c r="P119" s="4"/>
      <c r="Q119" s="1">
        <f>IF(ISNUMBER(J119),IF(G119&gt;0,IF(H119&gt;0,I119,0),0),0)</f>
        <v>0</v>
      </c>
      <c r="R119" s="1">
        <f>IF(ISNUMBER(J119)=FALSE,I119,0)</f>
        <v>0</v>
      </c>
    </row>
    <row r="120" spans="1:19">
      <c r="A120" s="9"/>
      <c r="B120" s="283" t="s">
        <v>27</v>
      </c>
      <c r="C120" s="276"/>
      <c r="D120" s="276"/>
      <c r="E120" s="27" t="s">
        <v>269</v>
      </c>
      <c r="F120" s="3"/>
      <c r="G120" s="3"/>
      <c r="H120" s="39"/>
      <c r="I120" s="3"/>
      <c r="J120" s="39"/>
      <c r="K120" s="3"/>
      <c r="L120" s="10"/>
      <c r="M120" s="4"/>
      <c r="N120" s="4"/>
      <c r="O120" s="4"/>
      <c r="P120" s="4"/>
    </row>
    <row r="121" spans="1:19" ht="13.5" thickBot="1">
      <c r="A121" s="9"/>
      <c r="B121" s="281" t="s">
        <v>28</v>
      </c>
      <c r="C121" s="282"/>
      <c r="D121" s="282"/>
      <c r="E121" s="29" t="s">
        <v>25</v>
      </c>
      <c r="F121" s="28"/>
      <c r="G121" s="28"/>
      <c r="H121" s="41"/>
      <c r="I121" s="28"/>
      <c r="J121" s="41"/>
      <c r="K121" s="28"/>
      <c r="L121" s="10"/>
      <c r="M121" s="4"/>
      <c r="N121" s="4"/>
      <c r="O121" s="4"/>
      <c r="P121" s="4"/>
    </row>
    <row r="122" spans="1:19" ht="13.5" thickTop="1">
      <c r="A122" s="9"/>
      <c r="B122" s="22">
        <v>29</v>
      </c>
      <c r="C122" s="23" t="s">
        <v>270</v>
      </c>
      <c r="D122" s="23" t="s">
        <v>25</v>
      </c>
      <c r="E122" s="23" t="s">
        <v>271</v>
      </c>
      <c r="F122" s="24" t="s">
        <v>57</v>
      </c>
      <c r="G122" s="30">
        <f>ROUND(45.96,3)</f>
        <v>45.96</v>
      </c>
      <c r="H122" s="42">
        <f>ROUND(0,2)</f>
        <v>0</v>
      </c>
      <c r="I122" s="31">
        <f>ROUND(H122*G122,2)</f>
        <v>0</v>
      </c>
      <c r="J122" s="46" t="s">
        <v>25</v>
      </c>
      <c r="K122" s="31">
        <f>IF(ISNUMBER(J122),ROUND(I122*(J122+1),2),0)</f>
        <v>0</v>
      </c>
      <c r="L122" s="10"/>
      <c r="M122" s="4"/>
      <c r="N122" s="4"/>
      <c r="O122" s="4"/>
      <c r="P122" s="4"/>
      <c r="Q122" s="1">
        <f>IF(ISNUMBER(J122),IF(G122&gt;0,IF(H122&gt;0,I122,0),0),0)</f>
        <v>0</v>
      </c>
      <c r="R122" s="1">
        <f>IF(ISNUMBER(J122)=FALSE,I122,0)</f>
        <v>0</v>
      </c>
    </row>
    <row r="123" spans="1:19">
      <c r="A123" s="9"/>
      <c r="B123" s="283" t="s">
        <v>27</v>
      </c>
      <c r="C123" s="276"/>
      <c r="D123" s="276"/>
      <c r="E123" s="27" t="s">
        <v>272</v>
      </c>
      <c r="F123" s="3"/>
      <c r="G123" s="3"/>
      <c r="H123" s="39"/>
      <c r="I123" s="3"/>
      <c r="J123" s="39"/>
      <c r="K123" s="3"/>
      <c r="L123" s="10"/>
      <c r="M123" s="4"/>
      <c r="N123" s="4"/>
      <c r="O123" s="4"/>
      <c r="P123" s="4"/>
    </row>
    <row r="124" spans="1:19" ht="13.5" thickBot="1">
      <c r="A124" s="9"/>
      <c r="B124" s="281" t="s">
        <v>28</v>
      </c>
      <c r="C124" s="282"/>
      <c r="D124" s="282"/>
      <c r="E124" s="29" t="s">
        <v>25</v>
      </c>
      <c r="F124" s="28"/>
      <c r="G124" s="28"/>
      <c r="H124" s="41"/>
      <c r="I124" s="28"/>
      <c r="J124" s="41"/>
      <c r="K124" s="28"/>
      <c r="L124" s="10"/>
      <c r="M124" s="4"/>
      <c r="N124" s="4"/>
      <c r="O124" s="4"/>
      <c r="P124" s="4"/>
    </row>
    <row r="125" spans="1:19" ht="24.95" customHeight="1" thickTop="1" thickBot="1">
      <c r="A125" s="9"/>
      <c r="B125" s="32"/>
      <c r="C125" s="33">
        <v>2</v>
      </c>
      <c r="D125" s="32"/>
      <c r="E125" s="34" t="s">
        <v>118</v>
      </c>
      <c r="F125" s="35" t="s">
        <v>44</v>
      </c>
      <c r="G125" s="36">
        <f>I92+I95+I98+I101+I104+I107+I110+I113+I116+I119+I122</f>
        <v>0</v>
      </c>
      <c r="H125" s="43" t="s">
        <v>45</v>
      </c>
      <c r="I125" s="37">
        <f>IF(COUNT(J92:J125)&gt;0,AVERAGE(J92:J125),0.21)</f>
        <v>0.21</v>
      </c>
      <c r="J125" s="43" t="s">
        <v>46</v>
      </c>
      <c r="K125" s="36">
        <f>ROUND(Q125*(1+I125),2)+R125</f>
        <v>0</v>
      </c>
      <c r="L125" s="10"/>
      <c r="M125" s="4"/>
      <c r="N125" s="4"/>
      <c r="O125" s="4"/>
      <c r="P125" s="4"/>
      <c r="Q125" s="1">
        <f>0+Q92+Q95+Q98+Q101+Q104+Q107+Q110+Q113+Q116+Q119+Q122</f>
        <v>0</v>
      </c>
      <c r="R125" s="1">
        <f>0+R92+R95+R98+R101+R104+R107+R110+R113+R116+R119+R122</f>
        <v>0</v>
      </c>
      <c r="S125" s="2">
        <f>Q125*(1+I125)+R125</f>
        <v>0</v>
      </c>
    </row>
    <row r="126" spans="1:19" ht="39.950000000000003" customHeight="1">
      <c r="A126" s="9"/>
      <c r="B126" s="284" t="s">
        <v>299</v>
      </c>
      <c r="C126" s="276"/>
      <c r="D126" s="276"/>
      <c r="E126" s="285"/>
      <c r="F126" s="276"/>
      <c r="G126" s="276"/>
      <c r="H126" s="286"/>
      <c r="I126" s="276"/>
      <c r="J126" s="286"/>
      <c r="K126" s="276"/>
      <c r="L126" s="10"/>
      <c r="M126" s="4"/>
      <c r="N126" s="4"/>
      <c r="O126" s="4"/>
      <c r="P126" s="4"/>
    </row>
    <row r="127" spans="1:19">
      <c r="A127" s="9"/>
      <c r="B127" s="22">
        <v>30</v>
      </c>
      <c r="C127" s="23" t="s">
        <v>273</v>
      </c>
      <c r="D127" s="23" t="s">
        <v>185</v>
      </c>
      <c r="E127" s="23" t="s">
        <v>274</v>
      </c>
      <c r="F127" s="24" t="s">
        <v>57</v>
      </c>
      <c r="G127" s="25">
        <f>ROUND(420,3)</f>
        <v>420</v>
      </c>
      <c r="H127" s="40">
        <f>ROUND(0,2)</f>
        <v>0</v>
      </c>
      <c r="I127" s="26">
        <f>ROUND(H127*G127,2)</f>
        <v>0</v>
      </c>
      <c r="J127" s="45" t="s">
        <v>25</v>
      </c>
      <c r="K127" s="26">
        <f>IF(ISNUMBER(J127),ROUND(I127*(J127+1),2),0)</f>
        <v>0</v>
      </c>
      <c r="L127" s="10"/>
      <c r="M127" s="4"/>
      <c r="N127" s="4"/>
      <c r="O127" s="4"/>
      <c r="P127" s="4"/>
      <c r="Q127" s="1">
        <f>IF(ISNUMBER(J127),IF(G127&gt;0,IF(H127&gt;0,I127,0),0),0)</f>
        <v>0</v>
      </c>
      <c r="R127" s="1">
        <f>IF(ISNUMBER(J127)=FALSE,I127,0)</f>
        <v>0</v>
      </c>
    </row>
    <row r="128" spans="1:19">
      <c r="A128" s="9"/>
      <c r="B128" s="283" t="s">
        <v>27</v>
      </c>
      <c r="C128" s="276"/>
      <c r="D128" s="276"/>
      <c r="E128" s="27" t="s">
        <v>25</v>
      </c>
      <c r="F128" s="3"/>
      <c r="G128" s="3"/>
      <c r="H128" s="39"/>
      <c r="I128" s="3"/>
      <c r="J128" s="39"/>
      <c r="K128" s="3"/>
      <c r="L128" s="10"/>
      <c r="M128" s="4"/>
      <c r="N128" s="4"/>
      <c r="O128" s="4"/>
      <c r="P128" s="4"/>
    </row>
    <row r="129" spans="1:18" ht="13.5" thickBot="1">
      <c r="A129" s="9"/>
      <c r="B129" s="281" t="s">
        <v>28</v>
      </c>
      <c r="C129" s="282"/>
      <c r="D129" s="282"/>
      <c r="E129" s="29" t="s">
        <v>25</v>
      </c>
      <c r="F129" s="28"/>
      <c r="G129" s="28"/>
      <c r="H129" s="41"/>
      <c r="I129" s="28"/>
      <c r="J129" s="41"/>
      <c r="K129" s="28"/>
      <c r="L129" s="10"/>
      <c r="M129" s="4"/>
      <c r="N129" s="4"/>
      <c r="O129" s="4"/>
      <c r="P129" s="4"/>
    </row>
    <row r="130" spans="1:18" ht="13.5" thickTop="1">
      <c r="A130" s="9"/>
      <c r="B130" s="22">
        <v>31</v>
      </c>
      <c r="C130" s="23" t="s">
        <v>275</v>
      </c>
      <c r="D130" s="23" t="s">
        <v>25</v>
      </c>
      <c r="E130" s="23" t="s">
        <v>276</v>
      </c>
      <c r="F130" s="24" t="s">
        <v>24</v>
      </c>
      <c r="G130" s="30">
        <f>ROUND(60.146,3)</f>
        <v>60.146000000000001</v>
      </c>
      <c r="H130" s="42">
        <f>ROUND(0,2)</f>
        <v>0</v>
      </c>
      <c r="I130" s="31">
        <f>ROUND(H130*G130,2)</f>
        <v>0</v>
      </c>
      <c r="J130" s="46" t="s">
        <v>25</v>
      </c>
      <c r="K130" s="31">
        <f>IF(ISNUMBER(J130),ROUND(I130*(J130+1),2),0)</f>
        <v>0</v>
      </c>
      <c r="L130" s="10"/>
      <c r="M130" s="4"/>
      <c r="N130" s="4"/>
      <c r="O130" s="4"/>
      <c r="P130" s="4"/>
      <c r="Q130" s="1">
        <f>IF(ISNUMBER(J130),IF(G130&gt;0,IF(H130&gt;0,I130,0),0),0)</f>
        <v>0</v>
      </c>
      <c r="R130" s="1">
        <f>IF(ISNUMBER(J130)=FALSE,I130,0)</f>
        <v>0</v>
      </c>
    </row>
    <row r="131" spans="1:18" ht="38.25">
      <c r="A131" s="9"/>
      <c r="B131" s="283" t="s">
        <v>27</v>
      </c>
      <c r="C131" s="276"/>
      <c r="D131" s="276"/>
      <c r="E131" s="27" t="s">
        <v>277</v>
      </c>
      <c r="F131" s="3"/>
      <c r="G131" s="3"/>
      <c r="H131" s="39"/>
      <c r="I131" s="3"/>
      <c r="J131" s="39"/>
      <c r="K131" s="3"/>
      <c r="L131" s="10"/>
      <c r="M131" s="4"/>
      <c r="N131" s="4"/>
      <c r="O131" s="4"/>
      <c r="P131" s="4"/>
    </row>
    <row r="132" spans="1:18" ht="13.5" thickBot="1">
      <c r="A132" s="9"/>
      <c r="B132" s="281" t="s">
        <v>28</v>
      </c>
      <c r="C132" s="282"/>
      <c r="D132" s="282"/>
      <c r="E132" s="29" t="s">
        <v>25</v>
      </c>
      <c r="F132" s="28"/>
      <c r="G132" s="28"/>
      <c r="H132" s="41"/>
      <c r="I132" s="28"/>
      <c r="J132" s="41"/>
      <c r="K132" s="28"/>
      <c r="L132" s="10"/>
      <c r="M132" s="4"/>
      <c r="N132" s="4"/>
      <c r="O132" s="4"/>
      <c r="P132" s="4"/>
    </row>
    <row r="133" spans="1:18" ht="13.5" thickTop="1">
      <c r="A133" s="9"/>
      <c r="B133" s="22">
        <v>32</v>
      </c>
      <c r="C133" s="23" t="s">
        <v>278</v>
      </c>
      <c r="D133" s="23" t="s">
        <v>249</v>
      </c>
      <c r="E133" s="23" t="s">
        <v>279</v>
      </c>
      <c r="F133" s="24" t="s">
        <v>57</v>
      </c>
      <c r="G133" s="30">
        <f>ROUND(4.29,3)</f>
        <v>4.29</v>
      </c>
      <c r="H133" s="42">
        <f>ROUND(0,2)</f>
        <v>0</v>
      </c>
      <c r="I133" s="31">
        <f>ROUND(H133*G133,2)</f>
        <v>0</v>
      </c>
      <c r="J133" s="46" t="s">
        <v>25</v>
      </c>
      <c r="K133" s="31">
        <f>IF(ISNUMBER(J133),ROUND(I133*(J133+1),2),0)</f>
        <v>0</v>
      </c>
      <c r="L133" s="10"/>
      <c r="M133" s="4"/>
      <c r="N133" s="4"/>
      <c r="O133" s="4"/>
      <c r="P133" s="4"/>
      <c r="Q133" s="1">
        <f>IF(ISNUMBER(J133),IF(G133&gt;0,IF(H133&gt;0,I133,0),0),0)</f>
        <v>0</v>
      </c>
      <c r="R133" s="1">
        <f>IF(ISNUMBER(J133)=FALSE,I133,0)</f>
        <v>0</v>
      </c>
    </row>
    <row r="134" spans="1:18">
      <c r="A134" s="9"/>
      <c r="B134" s="283" t="s">
        <v>27</v>
      </c>
      <c r="C134" s="276"/>
      <c r="D134" s="276"/>
      <c r="E134" s="27" t="s">
        <v>280</v>
      </c>
      <c r="F134" s="3"/>
      <c r="G134" s="3"/>
      <c r="H134" s="39"/>
      <c r="I134" s="3"/>
      <c r="J134" s="39"/>
      <c r="K134" s="3"/>
      <c r="L134" s="10"/>
      <c r="M134" s="4"/>
      <c r="N134" s="4"/>
      <c r="O134" s="4"/>
      <c r="P134" s="4"/>
    </row>
    <row r="135" spans="1:18" ht="13.5" thickBot="1">
      <c r="A135" s="9"/>
      <c r="B135" s="281" t="s">
        <v>28</v>
      </c>
      <c r="C135" s="282"/>
      <c r="D135" s="282"/>
      <c r="E135" s="29" t="s">
        <v>25</v>
      </c>
      <c r="F135" s="28"/>
      <c r="G135" s="28"/>
      <c r="H135" s="41"/>
      <c r="I135" s="28"/>
      <c r="J135" s="41"/>
      <c r="K135" s="28"/>
      <c r="L135" s="10"/>
      <c r="M135" s="4"/>
      <c r="N135" s="4"/>
      <c r="O135" s="4"/>
      <c r="P135" s="4"/>
    </row>
    <row r="136" spans="1:18" ht="13.5" thickTop="1">
      <c r="A136" s="9"/>
      <c r="B136" s="22">
        <v>33</v>
      </c>
      <c r="C136" s="23" t="s">
        <v>278</v>
      </c>
      <c r="D136" s="23" t="s">
        <v>251</v>
      </c>
      <c r="E136" s="23" t="s">
        <v>279</v>
      </c>
      <c r="F136" s="24" t="s">
        <v>57</v>
      </c>
      <c r="G136" s="30">
        <f>ROUND(6.67,3)</f>
        <v>6.67</v>
      </c>
      <c r="H136" s="42">
        <f>ROUND(0,2)</f>
        <v>0</v>
      </c>
      <c r="I136" s="31">
        <f>ROUND(H136*G136,2)</f>
        <v>0</v>
      </c>
      <c r="J136" s="46" t="s">
        <v>25</v>
      </c>
      <c r="K136" s="31">
        <f>IF(ISNUMBER(J136),ROUND(I136*(J136+1),2),0)</f>
        <v>0</v>
      </c>
      <c r="L136" s="10"/>
      <c r="M136" s="4"/>
      <c r="N136" s="4"/>
      <c r="O136" s="4"/>
      <c r="P136" s="4"/>
      <c r="Q136" s="1">
        <f>IF(ISNUMBER(J136),IF(G136&gt;0,IF(H136&gt;0,I136,0),0),0)</f>
        <v>0</v>
      </c>
      <c r="R136" s="1">
        <f>IF(ISNUMBER(J136)=FALSE,I136,0)</f>
        <v>0</v>
      </c>
    </row>
    <row r="137" spans="1:18">
      <c r="A137" s="9"/>
      <c r="B137" s="283" t="s">
        <v>27</v>
      </c>
      <c r="C137" s="276"/>
      <c r="D137" s="276"/>
      <c r="E137" s="27" t="s">
        <v>281</v>
      </c>
      <c r="F137" s="3"/>
      <c r="G137" s="3"/>
      <c r="H137" s="39"/>
      <c r="I137" s="3"/>
      <c r="J137" s="39"/>
      <c r="K137" s="3"/>
      <c r="L137" s="10"/>
      <c r="M137" s="4"/>
      <c r="N137" s="4"/>
      <c r="O137" s="4"/>
      <c r="P137" s="4"/>
    </row>
    <row r="138" spans="1:18" ht="13.5" thickBot="1">
      <c r="A138" s="9"/>
      <c r="B138" s="281" t="s">
        <v>28</v>
      </c>
      <c r="C138" s="282"/>
      <c r="D138" s="282"/>
      <c r="E138" s="29" t="s">
        <v>25</v>
      </c>
      <c r="F138" s="28"/>
      <c r="G138" s="28"/>
      <c r="H138" s="41"/>
      <c r="I138" s="28"/>
      <c r="J138" s="41"/>
      <c r="K138" s="28"/>
      <c r="L138" s="10"/>
      <c r="M138" s="4"/>
      <c r="N138" s="4"/>
      <c r="O138" s="4"/>
      <c r="P138" s="4"/>
    </row>
    <row r="139" spans="1:18" ht="13.5" thickTop="1">
      <c r="A139" s="9"/>
      <c r="B139" s="22">
        <v>34</v>
      </c>
      <c r="C139" s="23" t="s">
        <v>282</v>
      </c>
      <c r="D139" s="23" t="s">
        <v>249</v>
      </c>
      <c r="E139" s="23" t="s">
        <v>283</v>
      </c>
      <c r="F139" s="24" t="s">
        <v>24</v>
      </c>
      <c r="G139" s="30">
        <f>ROUND(4.9,3)</f>
        <v>4.9000000000000004</v>
      </c>
      <c r="H139" s="42">
        <f>ROUND(0,2)</f>
        <v>0</v>
      </c>
      <c r="I139" s="31">
        <f>ROUND(H139*G139,2)</f>
        <v>0</v>
      </c>
      <c r="J139" s="46" t="s">
        <v>25</v>
      </c>
      <c r="K139" s="31">
        <f>IF(ISNUMBER(J139),ROUND(I139*(J139+1),2),0)</f>
        <v>0</v>
      </c>
      <c r="L139" s="10"/>
      <c r="M139" s="4"/>
      <c r="N139" s="4"/>
      <c r="O139" s="4"/>
      <c r="P139" s="4"/>
      <c r="Q139" s="1">
        <f>IF(ISNUMBER(J139),IF(G139&gt;0,IF(H139&gt;0,I139,0),0),0)</f>
        <v>0</v>
      </c>
      <c r="R139" s="1">
        <f>IF(ISNUMBER(J139)=FALSE,I139,0)</f>
        <v>0</v>
      </c>
    </row>
    <row r="140" spans="1:18" ht="51">
      <c r="A140" s="9"/>
      <c r="B140" s="283" t="s">
        <v>27</v>
      </c>
      <c r="C140" s="276"/>
      <c r="D140" s="276"/>
      <c r="E140" s="27" t="s">
        <v>284</v>
      </c>
      <c r="F140" s="3"/>
      <c r="G140" s="3"/>
      <c r="H140" s="39"/>
      <c r="I140" s="3"/>
      <c r="J140" s="39"/>
      <c r="K140" s="3"/>
      <c r="L140" s="10"/>
      <c r="M140" s="4"/>
      <c r="N140" s="4"/>
      <c r="O140" s="4"/>
      <c r="P140" s="4"/>
    </row>
    <row r="141" spans="1:18" ht="13.5" thickBot="1">
      <c r="A141" s="9"/>
      <c r="B141" s="281" t="s">
        <v>28</v>
      </c>
      <c r="C141" s="282"/>
      <c r="D141" s="282"/>
      <c r="E141" s="29" t="s">
        <v>25</v>
      </c>
      <c r="F141" s="28"/>
      <c r="G141" s="28"/>
      <c r="H141" s="41"/>
      <c r="I141" s="28"/>
      <c r="J141" s="41"/>
      <c r="K141" s="28"/>
      <c r="L141" s="10"/>
      <c r="M141" s="4"/>
      <c r="N141" s="4"/>
      <c r="O141" s="4"/>
      <c r="P141" s="4"/>
    </row>
    <row r="142" spans="1:18" ht="13.5" thickTop="1">
      <c r="A142" s="9"/>
      <c r="B142" s="22">
        <v>35</v>
      </c>
      <c r="C142" s="23" t="s">
        <v>282</v>
      </c>
      <c r="D142" s="23" t="s">
        <v>251</v>
      </c>
      <c r="E142" s="23" t="s">
        <v>283</v>
      </c>
      <c r="F142" s="24" t="s">
        <v>24</v>
      </c>
      <c r="G142" s="30">
        <f>ROUND(82,3)</f>
        <v>82</v>
      </c>
      <c r="H142" s="42">
        <f>ROUND(0,2)</f>
        <v>0</v>
      </c>
      <c r="I142" s="31">
        <f>ROUND(H142*G142,2)</f>
        <v>0</v>
      </c>
      <c r="J142" s="46" t="s">
        <v>25</v>
      </c>
      <c r="K142" s="31">
        <f>IF(ISNUMBER(J142),ROUND(I142*(J142+1),2),0)</f>
        <v>0</v>
      </c>
      <c r="L142" s="10"/>
      <c r="M142" s="4"/>
      <c r="N142" s="4"/>
      <c r="O142" s="4"/>
      <c r="P142" s="4"/>
      <c r="Q142" s="1">
        <f>IF(ISNUMBER(J142),IF(G142&gt;0,IF(H142&gt;0,I142,0),0),0)</f>
        <v>0</v>
      </c>
      <c r="R142" s="1">
        <f>IF(ISNUMBER(J142)=FALSE,I142,0)</f>
        <v>0</v>
      </c>
    </row>
    <row r="143" spans="1:18">
      <c r="A143" s="9"/>
      <c r="B143" s="283" t="s">
        <v>27</v>
      </c>
      <c r="C143" s="276"/>
      <c r="D143" s="276"/>
      <c r="E143" s="27" t="s">
        <v>285</v>
      </c>
      <c r="F143" s="3"/>
      <c r="G143" s="3"/>
      <c r="H143" s="39"/>
      <c r="I143" s="3"/>
      <c r="J143" s="39"/>
      <c r="K143" s="3"/>
      <c r="L143" s="10"/>
      <c r="M143" s="4"/>
      <c r="N143" s="4"/>
      <c r="O143" s="4"/>
      <c r="P143" s="4"/>
    </row>
    <row r="144" spans="1:18" ht="13.5" thickBot="1">
      <c r="A144" s="9"/>
      <c r="B144" s="281" t="s">
        <v>28</v>
      </c>
      <c r="C144" s="282"/>
      <c r="D144" s="282"/>
      <c r="E144" s="29" t="s">
        <v>25</v>
      </c>
      <c r="F144" s="28"/>
      <c r="G144" s="28"/>
      <c r="H144" s="41"/>
      <c r="I144" s="28"/>
      <c r="J144" s="41"/>
      <c r="K144" s="28"/>
      <c r="L144" s="10"/>
      <c r="M144" s="4"/>
      <c r="N144" s="4"/>
      <c r="O144" s="4"/>
      <c r="P144" s="4"/>
    </row>
    <row r="145" spans="1:19" ht="13.5" thickTop="1">
      <c r="A145" s="9"/>
      <c r="B145" s="22">
        <v>36</v>
      </c>
      <c r="C145" s="23" t="s">
        <v>286</v>
      </c>
      <c r="D145" s="23" t="s">
        <v>25</v>
      </c>
      <c r="E145" s="23" t="s">
        <v>287</v>
      </c>
      <c r="F145" s="24" t="s">
        <v>24</v>
      </c>
      <c r="G145" s="30">
        <f>ROUND(0.52,3)</f>
        <v>0.52</v>
      </c>
      <c r="H145" s="42">
        <f>ROUND(0,2)</f>
        <v>0</v>
      </c>
      <c r="I145" s="31">
        <f>ROUND(H145*G145,2)</f>
        <v>0</v>
      </c>
      <c r="J145" s="46" t="s">
        <v>25</v>
      </c>
      <c r="K145" s="31">
        <f>IF(ISNUMBER(J145),ROUND(I145*(J145+1),2),0)</f>
        <v>0</v>
      </c>
      <c r="L145" s="10"/>
      <c r="M145" s="4"/>
      <c r="N145" s="4"/>
      <c r="O145" s="4"/>
      <c r="P145" s="4"/>
      <c r="Q145" s="1">
        <f>IF(ISNUMBER(J145),IF(G145&gt;0,IF(H145&gt;0,I145,0),0),0)</f>
        <v>0</v>
      </c>
      <c r="R145" s="1">
        <f>IF(ISNUMBER(J145)=FALSE,I145,0)</f>
        <v>0</v>
      </c>
    </row>
    <row r="146" spans="1:19">
      <c r="A146" s="9"/>
      <c r="B146" s="283" t="s">
        <v>27</v>
      </c>
      <c r="C146" s="276"/>
      <c r="D146" s="276"/>
      <c r="E146" s="27" t="s">
        <v>288</v>
      </c>
      <c r="F146" s="3"/>
      <c r="G146" s="3"/>
      <c r="H146" s="39"/>
      <c r="I146" s="3"/>
      <c r="J146" s="39"/>
      <c r="K146" s="3"/>
      <c r="L146" s="10"/>
      <c r="M146" s="4"/>
      <c r="N146" s="4"/>
      <c r="O146" s="4"/>
      <c r="P146" s="4"/>
    </row>
    <row r="147" spans="1:19" ht="13.5" thickBot="1">
      <c r="A147" s="9"/>
      <c r="B147" s="281" t="s">
        <v>28</v>
      </c>
      <c r="C147" s="282"/>
      <c r="D147" s="282"/>
      <c r="E147" s="29" t="s">
        <v>25</v>
      </c>
      <c r="F147" s="28"/>
      <c r="G147" s="28"/>
      <c r="H147" s="41"/>
      <c r="I147" s="28"/>
      <c r="J147" s="41"/>
      <c r="K147" s="28"/>
      <c r="L147" s="10"/>
      <c r="M147" s="4"/>
      <c r="N147" s="4"/>
      <c r="O147" s="4"/>
      <c r="P147" s="4"/>
    </row>
    <row r="148" spans="1:19" ht="13.5" thickTop="1">
      <c r="A148" s="9"/>
      <c r="B148" s="22">
        <v>37</v>
      </c>
      <c r="C148" s="23" t="s">
        <v>289</v>
      </c>
      <c r="D148" s="23" t="s">
        <v>25</v>
      </c>
      <c r="E148" s="23" t="s">
        <v>290</v>
      </c>
      <c r="F148" s="24" t="s">
        <v>57</v>
      </c>
      <c r="G148" s="30">
        <f>ROUND(1.23,3)</f>
        <v>1.23</v>
      </c>
      <c r="H148" s="42">
        <f>ROUND(0,2)</f>
        <v>0</v>
      </c>
      <c r="I148" s="31">
        <f>ROUND(H148*G148,2)</f>
        <v>0</v>
      </c>
      <c r="J148" s="46" t="s">
        <v>25</v>
      </c>
      <c r="K148" s="31">
        <f>IF(ISNUMBER(J148),ROUND(I148*(J148+1),2),0)</f>
        <v>0</v>
      </c>
      <c r="L148" s="10"/>
      <c r="M148" s="4"/>
      <c r="N148" s="4"/>
      <c r="O148" s="4"/>
      <c r="P148" s="4"/>
      <c r="Q148" s="1">
        <f>IF(ISNUMBER(J148),IF(G148&gt;0,IF(H148&gt;0,I148,0),0),0)</f>
        <v>0</v>
      </c>
      <c r="R148" s="1">
        <f>IF(ISNUMBER(J148)=FALSE,I148,0)</f>
        <v>0</v>
      </c>
    </row>
    <row r="149" spans="1:19">
      <c r="A149" s="9"/>
      <c r="B149" s="283" t="s">
        <v>27</v>
      </c>
      <c r="C149" s="276"/>
      <c r="D149" s="276"/>
      <c r="E149" s="27" t="s">
        <v>25</v>
      </c>
      <c r="F149" s="3"/>
      <c r="G149" s="3"/>
      <c r="H149" s="39"/>
      <c r="I149" s="3"/>
      <c r="J149" s="39"/>
      <c r="K149" s="3"/>
      <c r="L149" s="10"/>
      <c r="M149" s="4"/>
      <c r="N149" s="4"/>
      <c r="O149" s="4"/>
      <c r="P149" s="4"/>
    </row>
    <row r="150" spans="1:19" ht="13.5" thickBot="1">
      <c r="A150" s="9"/>
      <c r="B150" s="281" t="s">
        <v>28</v>
      </c>
      <c r="C150" s="282"/>
      <c r="D150" s="282"/>
      <c r="E150" s="29" t="s">
        <v>25</v>
      </c>
      <c r="F150" s="28"/>
      <c r="G150" s="28"/>
      <c r="H150" s="41"/>
      <c r="I150" s="28"/>
      <c r="J150" s="41"/>
      <c r="K150" s="28"/>
      <c r="L150" s="10"/>
      <c r="M150" s="4"/>
      <c r="N150" s="4"/>
      <c r="O150" s="4"/>
      <c r="P150" s="4"/>
    </row>
    <row r="151" spans="1:19" ht="13.5" thickTop="1">
      <c r="A151" s="9"/>
      <c r="B151" s="22">
        <v>38</v>
      </c>
      <c r="C151" s="23" t="s">
        <v>291</v>
      </c>
      <c r="D151" s="23" t="s">
        <v>185</v>
      </c>
      <c r="E151" s="23" t="s">
        <v>292</v>
      </c>
      <c r="F151" s="24" t="s">
        <v>24</v>
      </c>
      <c r="G151" s="30">
        <f>ROUND(0.18,3)</f>
        <v>0.18</v>
      </c>
      <c r="H151" s="42">
        <f>ROUND(0,2)</f>
        <v>0</v>
      </c>
      <c r="I151" s="31">
        <f>ROUND(H151*G151,2)</f>
        <v>0</v>
      </c>
      <c r="J151" s="46" t="s">
        <v>25</v>
      </c>
      <c r="K151" s="31">
        <f>IF(ISNUMBER(J151),ROUND(I151*(J151+1),2),0)</f>
        <v>0</v>
      </c>
      <c r="L151" s="10"/>
      <c r="M151" s="4"/>
      <c r="N151" s="4"/>
      <c r="O151" s="4"/>
      <c r="P151" s="4"/>
      <c r="Q151" s="1">
        <f>IF(ISNUMBER(J151),IF(G151&gt;0,IF(H151&gt;0,I151,0),0),0)</f>
        <v>0</v>
      </c>
      <c r="R151" s="1">
        <f>IF(ISNUMBER(J151)=FALSE,I151,0)</f>
        <v>0</v>
      </c>
    </row>
    <row r="152" spans="1:19">
      <c r="A152" s="9"/>
      <c r="B152" s="283" t="s">
        <v>27</v>
      </c>
      <c r="C152" s="276"/>
      <c r="D152" s="276"/>
      <c r="E152" s="27" t="s">
        <v>293</v>
      </c>
      <c r="F152" s="3"/>
      <c r="G152" s="3"/>
      <c r="H152" s="39"/>
      <c r="I152" s="3"/>
      <c r="J152" s="39"/>
      <c r="K152" s="3"/>
      <c r="L152" s="10"/>
      <c r="M152" s="4"/>
      <c r="N152" s="4"/>
      <c r="O152" s="4"/>
      <c r="P152" s="4"/>
    </row>
    <row r="153" spans="1:19" ht="13.5" thickBot="1">
      <c r="A153" s="9"/>
      <c r="B153" s="281" t="s">
        <v>28</v>
      </c>
      <c r="C153" s="282"/>
      <c r="D153" s="282"/>
      <c r="E153" s="29" t="s">
        <v>25</v>
      </c>
      <c r="F153" s="28"/>
      <c r="G153" s="28"/>
      <c r="H153" s="41"/>
      <c r="I153" s="28"/>
      <c r="J153" s="41"/>
      <c r="K153" s="28"/>
      <c r="L153" s="10"/>
      <c r="M153" s="4"/>
      <c r="N153" s="4"/>
      <c r="O153" s="4"/>
      <c r="P153" s="4"/>
    </row>
    <row r="154" spans="1:19" ht="13.5" thickTop="1">
      <c r="A154" s="9"/>
      <c r="B154" s="22">
        <v>39</v>
      </c>
      <c r="C154" s="23" t="s">
        <v>294</v>
      </c>
      <c r="D154" s="23" t="s">
        <v>25</v>
      </c>
      <c r="E154" s="23" t="s">
        <v>295</v>
      </c>
      <c r="F154" s="24" t="s">
        <v>24</v>
      </c>
      <c r="G154" s="30">
        <f>ROUND(15.55,3)</f>
        <v>15.55</v>
      </c>
      <c r="H154" s="42">
        <f>ROUND(0,2)</f>
        <v>0</v>
      </c>
      <c r="I154" s="31">
        <f>ROUND(H154*G154,2)</f>
        <v>0</v>
      </c>
      <c r="J154" s="46" t="s">
        <v>25</v>
      </c>
      <c r="K154" s="31">
        <f>IF(ISNUMBER(J154),ROUND(I154*(J154+1),2),0)</f>
        <v>0</v>
      </c>
      <c r="L154" s="10"/>
      <c r="M154" s="4"/>
      <c r="N154" s="4"/>
      <c r="O154" s="4"/>
      <c r="P154" s="4"/>
      <c r="Q154" s="1">
        <f>IF(ISNUMBER(J154),IF(G154&gt;0,IF(H154&gt;0,I154,0),0),0)</f>
        <v>0</v>
      </c>
      <c r="R154" s="1">
        <f>IF(ISNUMBER(J154)=FALSE,I154,0)</f>
        <v>0</v>
      </c>
    </row>
    <row r="155" spans="1:19">
      <c r="A155" s="9"/>
      <c r="B155" s="283" t="s">
        <v>27</v>
      </c>
      <c r="C155" s="276"/>
      <c r="D155" s="276"/>
      <c r="E155" s="27" t="s">
        <v>25</v>
      </c>
      <c r="F155" s="3"/>
      <c r="G155" s="3"/>
      <c r="H155" s="39"/>
      <c r="I155" s="3"/>
      <c r="J155" s="39"/>
      <c r="K155" s="3"/>
      <c r="L155" s="10"/>
      <c r="M155" s="4"/>
      <c r="N155" s="4"/>
      <c r="O155" s="4"/>
      <c r="P155" s="4"/>
    </row>
    <row r="156" spans="1:19" ht="13.5" thickBot="1">
      <c r="A156" s="9"/>
      <c r="B156" s="281" t="s">
        <v>28</v>
      </c>
      <c r="C156" s="282"/>
      <c r="D156" s="282"/>
      <c r="E156" s="29" t="s">
        <v>25</v>
      </c>
      <c r="F156" s="28"/>
      <c r="G156" s="28"/>
      <c r="H156" s="41"/>
      <c r="I156" s="28"/>
      <c r="J156" s="41"/>
      <c r="K156" s="28"/>
      <c r="L156" s="10"/>
      <c r="M156" s="4"/>
      <c r="N156" s="4"/>
      <c r="O156" s="4"/>
      <c r="P156" s="4"/>
    </row>
    <row r="157" spans="1:19" ht="13.5" thickTop="1">
      <c r="A157" s="9"/>
      <c r="B157" s="22">
        <v>40</v>
      </c>
      <c r="C157" s="23" t="s">
        <v>296</v>
      </c>
      <c r="D157" s="23" t="s">
        <v>25</v>
      </c>
      <c r="E157" s="23" t="s">
        <v>297</v>
      </c>
      <c r="F157" s="24" t="s">
        <v>24</v>
      </c>
      <c r="G157" s="30">
        <f>ROUND(0.74,3)</f>
        <v>0.74</v>
      </c>
      <c r="H157" s="42">
        <f>ROUND(0,2)</f>
        <v>0</v>
      </c>
      <c r="I157" s="31">
        <f>ROUND(H157*G157,2)</f>
        <v>0</v>
      </c>
      <c r="J157" s="46" t="s">
        <v>25</v>
      </c>
      <c r="K157" s="31">
        <f>IF(ISNUMBER(J157),ROUND(I157*(J157+1),2),0)</f>
        <v>0</v>
      </c>
      <c r="L157" s="10"/>
      <c r="M157" s="4"/>
      <c r="N157" s="4"/>
      <c r="O157" s="4"/>
      <c r="P157" s="4"/>
      <c r="Q157" s="1">
        <f>IF(ISNUMBER(J157),IF(G157&gt;0,IF(H157&gt;0,I157,0),0),0)</f>
        <v>0</v>
      </c>
      <c r="R157" s="1">
        <f>IF(ISNUMBER(J157)=FALSE,I157,0)</f>
        <v>0</v>
      </c>
    </row>
    <row r="158" spans="1:19">
      <c r="A158" s="9"/>
      <c r="B158" s="283" t="s">
        <v>27</v>
      </c>
      <c r="C158" s="276"/>
      <c r="D158" s="276"/>
      <c r="E158" s="27" t="s">
        <v>298</v>
      </c>
      <c r="F158" s="3"/>
      <c r="G158" s="3"/>
      <c r="H158" s="39"/>
      <c r="I158" s="3"/>
      <c r="J158" s="39"/>
      <c r="K158" s="3"/>
      <c r="L158" s="10"/>
      <c r="M158" s="4"/>
      <c r="N158" s="4"/>
      <c r="O158" s="4"/>
      <c r="P158" s="4"/>
    </row>
    <row r="159" spans="1:19" ht="13.5" thickBot="1">
      <c r="A159" s="9"/>
      <c r="B159" s="281" t="s">
        <v>28</v>
      </c>
      <c r="C159" s="282"/>
      <c r="D159" s="282"/>
      <c r="E159" s="29" t="s">
        <v>25</v>
      </c>
      <c r="F159" s="28"/>
      <c r="G159" s="28"/>
      <c r="H159" s="41"/>
      <c r="I159" s="28"/>
      <c r="J159" s="41"/>
      <c r="K159" s="28"/>
      <c r="L159" s="10"/>
      <c r="M159" s="4"/>
      <c r="N159" s="4"/>
      <c r="O159" s="4"/>
      <c r="P159" s="4"/>
    </row>
    <row r="160" spans="1:19" ht="24.95" customHeight="1" thickTop="1" thickBot="1">
      <c r="A160" s="9"/>
      <c r="B160" s="32"/>
      <c r="C160" s="33">
        <v>3</v>
      </c>
      <c r="D160" s="32"/>
      <c r="E160" s="34" t="s">
        <v>300</v>
      </c>
      <c r="F160" s="35" t="s">
        <v>44</v>
      </c>
      <c r="G160" s="36">
        <f>I127+I130+I133+I136+I139+I142+I145+I148+I151+I154+I157</f>
        <v>0</v>
      </c>
      <c r="H160" s="43" t="s">
        <v>45</v>
      </c>
      <c r="I160" s="37">
        <f>IF(COUNT(J127:J160)&gt;0,AVERAGE(J127:J160),0.21)</f>
        <v>0.21</v>
      </c>
      <c r="J160" s="43" t="s">
        <v>46</v>
      </c>
      <c r="K160" s="36">
        <f>ROUND(Q160*(1+I160),2)+R160</f>
        <v>0</v>
      </c>
      <c r="L160" s="10"/>
      <c r="M160" s="4"/>
      <c r="N160" s="4"/>
      <c r="O160" s="4"/>
      <c r="P160" s="4"/>
      <c r="Q160" s="1">
        <f>0+Q127+Q130+Q133+Q136+Q139+Q142+Q145+Q148+Q151+Q154+Q157</f>
        <v>0</v>
      </c>
      <c r="R160" s="1">
        <f>0+R127+R130+R133+R136+R139+R142+R145+R148+R151+R154+R157</f>
        <v>0</v>
      </c>
      <c r="S160" s="2">
        <f>Q160*(1+I160)+R160</f>
        <v>0</v>
      </c>
    </row>
    <row r="161" spans="1:18" ht="39.950000000000003" customHeight="1">
      <c r="A161" s="9"/>
      <c r="B161" s="284" t="s">
        <v>121</v>
      </c>
      <c r="C161" s="276"/>
      <c r="D161" s="276"/>
      <c r="E161" s="285"/>
      <c r="F161" s="276"/>
      <c r="G161" s="276"/>
      <c r="H161" s="286"/>
      <c r="I161" s="276"/>
      <c r="J161" s="286"/>
      <c r="K161" s="276"/>
      <c r="L161" s="10"/>
      <c r="M161" s="4"/>
      <c r="N161" s="4"/>
      <c r="O161" s="4"/>
      <c r="P161" s="4"/>
    </row>
    <row r="162" spans="1:18">
      <c r="A162" s="9"/>
      <c r="B162" s="22">
        <v>41</v>
      </c>
      <c r="C162" s="23" t="s">
        <v>301</v>
      </c>
      <c r="D162" s="23" t="s">
        <v>185</v>
      </c>
      <c r="E162" s="23" t="s">
        <v>302</v>
      </c>
      <c r="F162" s="24" t="s">
        <v>57</v>
      </c>
      <c r="G162" s="25">
        <f>ROUND(294.64,3)</f>
        <v>294.64</v>
      </c>
      <c r="H162" s="40">
        <f>ROUND(0,2)</f>
        <v>0</v>
      </c>
      <c r="I162" s="26">
        <f>ROUND(H162*G162,2)</f>
        <v>0</v>
      </c>
      <c r="J162" s="45" t="s">
        <v>25</v>
      </c>
      <c r="K162" s="26">
        <f>IF(ISNUMBER(J162),ROUND(I162*(J162+1),2),0)</f>
        <v>0</v>
      </c>
      <c r="L162" s="10"/>
      <c r="M162" s="4"/>
      <c r="N162" s="4"/>
      <c r="O162" s="4"/>
      <c r="P162" s="4"/>
      <c r="Q162" s="1">
        <f>IF(ISNUMBER(J162),IF(G162&gt;0,IF(H162&gt;0,I162,0),0),0)</f>
        <v>0</v>
      </c>
      <c r="R162" s="1">
        <f>IF(ISNUMBER(J162)=FALSE,I162,0)</f>
        <v>0</v>
      </c>
    </row>
    <row r="163" spans="1:18">
      <c r="A163" s="9"/>
      <c r="B163" s="283" t="s">
        <v>27</v>
      </c>
      <c r="C163" s="276"/>
      <c r="D163" s="276"/>
      <c r="E163" s="27" t="s">
        <v>303</v>
      </c>
      <c r="F163" s="3"/>
      <c r="G163" s="3"/>
      <c r="H163" s="39"/>
      <c r="I163" s="3"/>
      <c r="J163" s="39"/>
      <c r="K163" s="3"/>
      <c r="L163" s="10"/>
      <c r="M163" s="4"/>
      <c r="N163" s="4"/>
      <c r="O163" s="4"/>
      <c r="P163" s="4"/>
    </row>
    <row r="164" spans="1:18" ht="13.5" thickBot="1">
      <c r="A164" s="9"/>
      <c r="B164" s="281" t="s">
        <v>28</v>
      </c>
      <c r="C164" s="282"/>
      <c r="D164" s="282"/>
      <c r="E164" s="29" t="s">
        <v>25</v>
      </c>
      <c r="F164" s="28"/>
      <c r="G164" s="28"/>
      <c r="H164" s="41"/>
      <c r="I164" s="28"/>
      <c r="J164" s="41"/>
      <c r="K164" s="28"/>
      <c r="L164" s="10"/>
      <c r="M164" s="4"/>
      <c r="N164" s="4"/>
      <c r="O164" s="4"/>
      <c r="P164" s="4"/>
    </row>
    <row r="165" spans="1:18" ht="13.5" thickTop="1">
      <c r="A165" s="9"/>
      <c r="B165" s="22">
        <v>42</v>
      </c>
      <c r="C165" s="23" t="s">
        <v>304</v>
      </c>
      <c r="D165" s="23" t="s">
        <v>185</v>
      </c>
      <c r="E165" s="23" t="s">
        <v>305</v>
      </c>
      <c r="F165" s="24" t="s">
        <v>306</v>
      </c>
      <c r="G165" s="30">
        <f>ROUND(32,3)</f>
        <v>32</v>
      </c>
      <c r="H165" s="42">
        <f>ROUND(0,2)</f>
        <v>0</v>
      </c>
      <c r="I165" s="31">
        <f>ROUND(H165*G165,2)</f>
        <v>0</v>
      </c>
      <c r="J165" s="46" t="s">
        <v>25</v>
      </c>
      <c r="K165" s="31">
        <f>IF(ISNUMBER(J165),ROUND(I165*(J165+1),2),0)</f>
        <v>0</v>
      </c>
      <c r="L165" s="10"/>
      <c r="M165" s="4"/>
      <c r="N165" s="4"/>
      <c r="O165" s="4"/>
      <c r="P165" s="4"/>
      <c r="Q165" s="1">
        <f>IF(ISNUMBER(J165),IF(G165&gt;0,IF(H165&gt;0,I165,0),0),0)</f>
        <v>0</v>
      </c>
      <c r="R165" s="1">
        <f>IF(ISNUMBER(J165)=FALSE,I165,0)</f>
        <v>0</v>
      </c>
    </row>
    <row r="166" spans="1:18">
      <c r="A166" s="9"/>
      <c r="B166" s="283" t="s">
        <v>27</v>
      </c>
      <c r="C166" s="276"/>
      <c r="D166" s="276"/>
      <c r="E166" s="27" t="s">
        <v>307</v>
      </c>
      <c r="F166" s="3"/>
      <c r="G166" s="3"/>
      <c r="H166" s="39"/>
      <c r="I166" s="3"/>
      <c r="J166" s="39"/>
      <c r="K166" s="3"/>
      <c r="L166" s="10"/>
      <c r="M166" s="4"/>
      <c r="N166" s="4"/>
      <c r="O166" s="4"/>
      <c r="P166" s="4"/>
    </row>
    <row r="167" spans="1:18" ht="13.5" thickBot="1">
      <c r="A167" s="9"/>
      <c r="B167" s="281" t="s">
        <v>28</v>
      </c>
      <c r="C167" s="282"/>
      <c r="D167" s="282"/>
      <c r="E167" s="29" t="s">
        <v>25</v>
      </c>
      <c r="F167" s="28"/>
      <c r="G167" s="28"/>
      <c r="H167" s="41"/>
      <c r="I167" s="28"/>
      <c r="J167" s="41"/>
      <c r="K167" s="28"/>
      <c r="L167" s="10"/>
      <c r="M167" s="4"/>
      <c r="N167" s="4"/>
      <c r="O167" s="4"/>
      <c r="P167" s="4"/>
    </row>
    <row r="168" spans="1:18" ht="13.5" thickTop="1">
      <c r="A168" s="9"/>
      <c r="B168" s="22">
        <v>43</v>
      </c>
      <c r="C168" s="23" t="s">
        <v>308</v>
      </c>
      <c r="D168" s="23" t="s">
        <v>185</v>
      </c>
      <c r="E168" s="23" t="s">
        <v>309</v>
      </c>
      <c r="F168" s="24" t="s">
        <v>24</v>
      </c>
      <c r="G168" s="30">
        <f>ROUND(29.25,3)</f>
        <v>29.25</v>
      </c>
      <c r="H168" s="42">
        <f>ROUND(0,2)</f>
        <v>0</v>
      </c>
      <c r="I168" s="31">
        <f>ROUND(H168*G168,2)</f>
        <v>0</v>
      </c>
      <c r="J168" s="46" t="s">
        <v>25</v>
      </c>
      <c r="K168" s="31">
        <f>IF(ISNUMBER(J168),ROUND(I168*(J168+1),2),0)</f>
        <v>0</v>
      </c>
      <c r="L168" s="10"/>
      <c r="M168" s="4"/>
      <c r="N168" s="4"/>
      <c r="O168" s="4"/>
      <c r="P168" s="4"/>
      <c r="Q168" s="1">
        <f>IF(ISNUMBER(J168),IF(G168&gt;0,IF(H168&gt;0,I168,0),0),0)</f>
        <v>0</v>
      </c>
      <c r="R168" s="1">
        <f>IF(ISNUMBER(J168)=FALSE,I168,0)</f>
        <v>0</v>
      </c>
    </row>
    <row r="169" spans="1:18">
      <c r="A169" s="9"/>
      <c r="B169" s="283" t="s">
        <v>27</v>
      </c>
      <c r="C169" s="276"/>
      <c r="D169" s="276"/>
      <c r="E169" s="27" t="s">
        <v>310</v>
      </c>
      <c r="F169" s="3"/>
      <c r="G169" s="3"/>
      <c r="H169" s="39"/>
      <c r="I169" s="3"/>
      <c r="J169" s="39"/>
      <c r="K169" s="3"/>
      <c r="L169" s="10"/>
      <c r="M169" s="4"/>
      <c r="N169" s="4"/>
      <c r="O169" s="4"/>
      <c r="P169" s="4"/>
    </row>
    <row r="170" spans="1:18" ht="13.5" thickBot="1">
      <c r="A170" s="9"/>
      <c r="B170" s="281" t="s">
        <v>28</v>
      </c>
      <c r="C170" s="282"/>
      <c r="D170" s="282"/>
      <c r="E170" s="29" t="s">
        <v>25</v>
      </c>
      <c r="F170" s="28"/>
      <c r="G170" s="28"/>
      <c r="H170" s="41"/>
      <c r="I170" s="28"/>
      <c r="J170" s="41"/>
      <c r="K170" s="28"/>
      <c r="L170" s="10"/>
      <c r="M170" s="4"/>
      <c r="N170" s="4"/>
      <c r="O170" s="4"/>
      <c r="P170" s="4"/>
    </row>
    <row r="171" spans="1:18" ht="13.5" thickTop="1">
      <c r="A171" s="9"/>
      <c r="B171" s="22">
        <v>44</v>
      </c>
      <c r="C171" s="23" t="s">
        <v>311</v>
      </c>
      <c r="D171" s="23" t="s">
        <v>249</v>
      </c>
      <c r="E171" s="23" t="s">
        <v>312</v>
      </c>
      <c r="F171" s="24" t="s">
        <v>24</v>
      </c>
      <c r="G171" s="30">
        <f>ROUND(0.56,3)</f>
        <v>0.56000000000000005</v>
      </c>
      <c r="H171" s="42">
        <f>ROUND(0,2)</f>
        <v>0</v>
      </c>
      <c r="I171" s="31">
        <f>ROUND(H171*G171,2)</f>
        <v>0</v>
      </c>
      <c r="J171" s="46" t="s">
        <v>25</v>
      </c>
      <c r="K171" s="31">
        <f>IF(ISNUMBER(J171),ROUND(I171*(J171+1),2),0)</f>
        <v>0</v>
      </c>
      <c r="L171" s="10"/>
      <c r="M171" s="4"/>
      <c r="N171" s="4"/>
      <c r="O171" s="4"/>
      <c r="P171" s="4"/>
      <c r="Q171" s="1">
        <f>IF(ISNUMBER(J171),IF(G171&gt;0,IF(H171&gt;0,I171,0),0),0)</f>
        <v>0</v>
      </c>
      <c r="R171" s="1">
        <f>IF(ISNUMBER(J171)=FALSE,I171,0)</f>
        <v>0</v>
      </c>
    </row>
    <row r="172" spans="1:18">
      <c r="A172" s="9"/>
      <c r="B172" s="283" t="s">
        <v>27</v>
      </c>
      <c r="C172" s="276"/>
      <c r="D172" s="276"/>
      <c r="E172" s="27" t="s">
        <v>313</v>
      </c>
      <c r="F172" s="3"/>
      <c r="G172" s="3"/>
      <c r="H172" s="39"/>
      <c r="I172" s="3"/>
      <c r="J172" s="39"/>
      <c r="K172" s="3"/>
      <c r="L172" s="10"/>
      <c r="M172" s="4"/>
      <c r="N172" s="4"/>
      <c r="O172" s="4"/>
      <c r="P172" s="4"/>
    </row>
    <row r="173" spans="1:18" ht="13.5" thickBot="1">
      <c r="A173" s="9"/>
      <c r="B173" s="281" t="s">
        <v>28</v>
      </c>
      <c r="C173" s="282"/>
      <c r="D173" s="282"/>
      <c r="E173" s="29" t="s">
        <v>25</v>
      </c>
      <c r="F173" s="28"/>
      <c r="G173" s="28"/>
      <c r="H173" s="41"/>
      <c r="I173" s="28"/>
      <c r="J173" s="41"/>
      <c r="K173" s="28"/>
      <c r="L173" s="10"/>
      <c r="M173" s="4"/>
      <c r="N173" s="4"/>
      <c r="O173" s="4"/>
      <c r="P173" s="4"/>
    </row>
    <row r="174" spans="1:18" ht="13.5" thickTop="1">
      <c r="A174" s="9"/>
      <c r="B174" s="22">
        <v>45</v>
      </c>
      <c r="C174" s="23" t="s">
        <v>311</v>
      </c>
      <c r="D174" s="23" t="s">
        <v>251</v>
      </c>
      <c r="E174" s="23" t="s">
        <v>312</v>
      </c>
      <c r="F174" s="24" t="s">
        <v>24</v>
      </c>
      <c r="G174" s="30">
        <f>ROUND(1.92,3)</f>
        <v>1.92</v>
      </c>
      <c r="H174" s="42">
        <f>ROUND(0,2)</f>
        <v>0</v>
      </c>
      <c r="I174" s="31">
        <f>ROUND(H174*G174,2)</f>
        <v>0</v>
      </c>
      <c r="J174" s="46" t="s">
        <v>25</v>
      </c>
      <c r="K174" s="31">
        <f>IF(ISNUMBER(J174),ROUND(I174*(J174+1),2),0)</f>
        <v>0</v>
      </c>
      <c r="L174" s="10"/>
      <c r="M174" s="4"/>
      <c r="N174" s="4"/>
      <c r="O174" s="4"/>
      <c r="P174" s="4"/>
      <c r="Q174" s="1">
        <f>IF(ISNUMBER(J174),IF(G174&gt;0,IF(H174&gt;0,I174,0),0),0)</f>
        <v>0</v>
      </c>
      <c r="R174" s="1">
        <f>IF(ISNUMBER(J174)=FALSE,I174,0)</f>
        <v>0</v>
      </c>
    </row>
    <row r="175" spans="1:18">
      <c r="A175" s="9"/>
      <c r="B175" s="283" t="s">
        <v>27</v>
      </c>
      <c r="C175" s="276"/>
      <c r="D175" s="276"/>
      <c r="E175" s="27" t="s">
        <v>314</v>
      </c>
      <c r="F175" s="3"/>
      <c r="G175" s="3"/>
      <c r="H175" s="39"/>
      <c r="I175" s="3"/>
      <c r="J175" s="39"/>
      <c r="K175" s="3"/>
      <c r="L175" s="10"/>
      <c r="M175" s="4"/>
      <c r="N175" s="4"/>
      <c r="O175" s="4"/>
      <c r="P175" s="4"/>
    </row>
    <row r="176" spans="1:18" ht="13.5" thickBot="1">
      <c r="A176" s="9"/>
      <c r="B176" s="281" t="s">
        <v>28</v>
      </c>
      <c r="C176" s="282"/>
      <c r="D176" s="282"/>
      <c r="E176" s="29" t="s">
        <v>25</v>
      </c>
      <c r="F176" s="28"/>
      <c r="G176" s="28"/>
      <c r="H176" s="41"/>
      <c r="I176" s="28"/>
      <c r="J176" s="41"/>
      <c r="K176" s="28"/>
      <c r="L176" s="10"/>
      <c r="M176" s="4"/>
      <c r="N176" s="4"/>
      <c r="O176" s="4"/>
      <c r="P176" s="4"/>
    </row>
    <row r="177" spans="1:18" ht="13.5" thickTop="1">
      <c r="A177" s="9"/>
      <c r="B177" s="22">
        <v>46</v>
      </c>
      <c r="C177" s="23" t="s">
        <v>315</v>
      </c>
      <c r="D177" s="23" t="s">
        <v>185</v>
      </c>
      <c r="E177" s="23" t="s">
        <v>316</v>
      </c>
      <c r="F177" s="24" t="s">
        <v>24</v>
      </c>
      <c r="G177" s="30">
        <f>ROUND(186.26,3)</f>
        <v>186.26</v>
      </c>
      <c r="H177" s="42">
        <f>ROUND(0,2)</f>
        <v>0</v>
      </c>
      <c r="I177" s="31">
        <f>ROUND(H177*G177,2)</f>
        <v>0</v>
      </c>
      <c r="J177" s="46" t="s">
        <v>25</v>
      </c>
      <c r="K177" s="31">
        <f>IF(ISNUMBER(J177),ROUND(I177*(J177+1),2),0)</f>
        <v>0</v>
      </c>
      <c r="L177" s="10"/>
      <c r="M177" s="4"/>
      <c r="N177" s="4"/>
      <c r="O177" s="4"/>
      <c r="P177" s="4"/>
      <c r="Q177" s="1">
        <f>IF(ISNUMBER(J177),IF(G177&gt;0,IF(H177&gt;0,I177,0),0),0)</f>
        <v>0</v>
      </c>
      <c r="R177" s="1">
        <f>IF(ISNUMBER(J177)=FALSE,I177,0)</f>
        <v>0</v>
      </c>
    </row>
    <row r="178" spans="1:18">
      <c r="A178" s="9"/>
      <c r="B178" s="283" t="s">
        <v>27</v>
      </c>
      <c r="C178" s="276"/>
      <c r="D178" s="276"/>
      <c r="E178" s="27" t="s">
        <v>317</v>
      </c>
      <c r="F178" s="3"/>
      <c r="G178" s="3"/>
      <c r="H178" s="39"/>
      <c r="I178" s="3"/>
      <c r="J178" s="39"/>
      <c r="K178" s="3"/>
      <c r="L178" s="10"/>
      <c r="M178" s="4"/>
      <c r="N178" s="4"/>
      <c r="O178" s="4"/>
      <c r="P178" s="4"/>
    </row>
    <row r="179" spans="1:18" ht="13.5" thickBot="1">
      <c r="A179" s="9"/>
      <c r="B179" s="281" t="s">
        <v>28</v>
      </c>
      <c r="C179" s="282"/>
      <c r="D179" s="282"/>
      <c r="E179" s="29" t="s">
        <v>25</v>
      </c>
      <c r="F179" s="28"/>
      <c r="G179" s="28"/>
      <c r="H179" s="41"/>
      <c r="I179" s="28"/>
      <c r="J179" s="41"/>
      <c r="K179" s="28"/>
      <c r="L179" s="10"/>
      <c r="M179" s="4"/>
      <c r="N179" s="4"/>
      <c r="O179" s="4"/>
      <c r="P179" s="4"/>
    </row>
    <row r="180" spans="1:18" ht="13.5" thickTop="1">
      <c r="A180" s="9"/>
      <c r="B180" s="22">
        <v>47</v>
      </c>
      <c r="C180" s="23" t="s">
        <v>318</v>
      </c>
      <c r="D180" s="23" t="s">
        <v>25</v>
      </c>
      <c r="E180" s="23" t="s">
        <v>319</v>
      </c>
      <c r="F180" s="24" t="s">
        <v>64</v>
      </c>
      <c r="G180" s="30">
        <f>ROUND(8.81,3)</f>
        <v>8.81</v>
      </c>
      <c r="H180" s="42">
        <f>ROUND(0,2)</f>
        <v>0</v>
      </c>
      <c r="I180" s="31">
        <f>ROUND(H180*G180,2)</f>
        <v>0</v>
      </c>
      <c r="J180" s="46" t="s">
        <v>25</v>
      </c>
      <c r="K180" s="31">
        <f>IF(ISNUMBER(J180),ROUND(I180*(J180+1),2),0)</f>
        <v>0</v>
      </c>
      <c r="L180" s="10"/>
      <c r="M180" s="4"/>
      <c r="N180" s="4"/>
      <c r="O180" s="4"/>
      <c r="P180" s="4"/>
      <c r="Q180" s="1">
        <f>IF(ISNUMBER(J180),IF(G180&gt;0,IF(H180&gt;0,I180,0),0),0)</f>
        <v>0</v>
      </c>
      <c r="R180" s="1">
        <f>IF(ISNUMBER(J180)=FALSE,I180,0)</f>
        <v>0</v>
      </c>
    </row>
    <row r="181" spans="1:18">
      <c r="A181" s="9"/>
      <c r="B181" s="283" t="s">
        <v>27</v>
      </c>
      <c r="C181" s="276"/>
      <c r="D181" s="276"/>
      <c r="E181" s="27" t="s">
        <v>25</v>
      </c>
      <c r="F181" s="3"/>
      <c r="G181" s="3"/>
      <c r="H181" s="39"/>
      <c r="I181" s="3"/>
      <c r="J181" s="39"/>
      <c r="K181" s="3"/>
      <c r="L181" s="10"/>
      <c r="M181" s="4"/>
      <c r="N181" s="4"/>
      <c r="O181" s="4"/>
      <c r="P181" s="4"/>
    </row>
    <row r="182" spans="1:18" ht="13.5" thickBot="1">
      <c r="A182" s="9"/>
      <c r="B182" s="281" t="s">
        <v>28</v>
      </c>
      <c r="C182" s="282"/>
      <c r="D182" s="282"/>
      <c r="E182" s="29" t="s">
        <v>25</v>
      </c>
      <c r="F182" s="28"/>
      <c r="G182" s="28"/>
      <c r="H182" s="41"/>
      <c r="I182" s="28"/>
      <c r="J182" s="41"/>
      <c r="K182" s="28"/>
      <c r="L182" s="10"/>
      <c r="M182" s="4"/>
      <c r="N182" s="4"/>
      <c r="O182" s="4"/>
      <c r="P182" s="4"/>
    </row>
    <row r="183" spans="1:18" ht="13.5" thickTop="1">
      <c r="A183" s="9"/>
      <c r="B183" s="22">
        <v>48</v>
      </c>
      <c r="C183" s="23" t="s">
        <v>320</v>
      </c>
      <c r="D183" s="23" t="s">
        <v>25</v>
      </c>
      <c r="E183" s="23" t="s">
        <v>321</v>
      </c>
      <c r="F183" s="24" t="s">
        <v>52</v>
      </c>
      <c r="G183" s="30">
        <f>ROUND(8,3)</f>
        <v>8</v>
      </c>
      <c r="H183" s="42">
        <f>ROUND(0,2)</f>
        <v>0</v>
      </c>
      <c r="I183" s="31">
        <f>ROUND(H183*G183,2)</f>
        <v>0</v>
      </c>
      <c r="J183" s="46" t="s">
        <v>25</v>
      </c>
      <c r="K183" s="31">
        <f>IF(ISNUMBER(J183),ROUND(I183*(J183+1),2),0)</f>
        <v>0</v>
      </c>
      <c r="L183" s="10"/>
      <c r="M183" s="4"/>
      <c r="N183" s="4"/>
      <c r="O183" s="4"/>
      <c r="P183" s="4"/>
      <c r="Q183" s="1">
        <f>IF(ISNUMBER(J183),IF(G183&gt;0,IF(H183&gt;0,I183,0),0),0)</f>
        <v>0</v>
      </c>
      <c r="R183" s="1">
        <f>IF(ISNUMBER(J183)=FALSE,I183,0)</f>
        <v>0</v>
      </c>
    </row>
    <row r="184" spans="1:18">
      <c r="A184" s="9"/>
      <c r="B184" s="283" t="s">
        <v>27</v>
      </c>
      <c r="C184" s="276"/>
      <c r="D184" s="276"/>
      <c r="E184" s="27" t="s">
        <v>322</v>
      </c>
      <c r="F184" s="3"/>
      <c r="G184" s="3"/>
      <c r="H184" s="39"/>
      <c r="I184" s="3"/>
      <c r="J184" s="39"/>
      <c r="K184" s="3"/>
      <c r="L184" s="10"/>
      <c r="M184" s="4"/>
      <c r="N184" s="4"/>
      <c r="O184" s="4"/>
      <c r="P184" s="4"/>
    </row>
    <row r="185" spans="1:18" ht="13.5" thickBot="1">
      <c r="A185" s="9"/>
      <c r="B185" s="281" t="s">
        <v>28</v>
      </c>
      <c r="C185" s="282"/>
      <c r="D185" s="282"/>
      <c r="E185" s="29" t="s">
        <v>25</v>
      </c>
      <c r="F185" s="28"/>
      <c r="G185" s="28"/>
      <c r="H185" s="41"/>
      <c r="I185" s="28"/>
      <c r="J185" s="41"/>
      <c r="K185" s="28"/>
      <c r="L185" s="10"/>
      <c r="M185" s="4"/>
      <c r="N185" s="4"/>
      <c r="O185" s="4"/>
      <c r="P185" s="4"/>
    </row>
    <row r="186" spans="1:18" ht="13.5" thickTop="1">
      <c r="A186" s="9"/>
      <c r="B186" s="22">
        <v>49</v>
      </c>
      <c r="C186" s="23" t="s">
        <v>323</v>
      </c>
      <c r="D186" s="23" t="s">
        <v>249</v>
      </c>
      <c r="E186" s="23" t="s">
        <v>324</v>
      </c>
      <c r="F186" s="24" t="s">
        <v>57</v>
      </c>
      <c r="G186" s="30">
        <f>ROUND(76.49,3)</f>
        <v>76.489999999999995</v>
      </c>
      <c r="H186" s="42">
        <f>ROUND(0,2)</f>
        <v>0</v>
      </c>
      <c r="I186" s="31">
        <f>ROUND(H186*G186,2)</f>
        <v>0</v>
      </c>
      <c r="J186" s="46" t="s">
        <v>25</v>
      </c>
      <c r="K186" s="31">
        <f>IF(ISNUMBER(J186),ROUND(I186*(J186+1),2),0)</f>
        <v>0</v>
      </c>
      <c r="L186" s="10"/>
      <c r="M186" s="4"/>
      <c r="N186" s="4"/>
      <c r="O186" s="4"/>
      <c r="P186" s="4"/>
      <c r="Q186" s="1">
        <f>IF(ISNUMBER(J186),IF(G186&gt;0,IF(H186&gt;0,I186,0),0),0)</f>
        <v>0</v>
      </c>
      <c r="R186" s="1">
        <f>IF(ISNUMBER(J186)=FALSE,I186,0)</f>
        <v>0</v>
      </c>
    </row>
    <row r="187" spans="1:18">
      <c r="A187" s="9"/>
      <c r="B187" s="283" t="s">
        <v>27</v>
      </c>
      <c r="C187" s="276"/>
      <c r="D187" s="276"/>
      <c r="E187" s="27" t="s">
        <v>325</v>
      </c>
      <c r="F187" s="3"/>
      <c r="G187" s="3"/>
      <c r="H187" s="39"/>
      <c r="I187" s="3"/>
      <c r="J187" s="39"/>
      <c r="K187" s="3"/>
      <c r="L187" s="10"/>
      <c r="M187" s="4"/>
      <c r="N187" s="4"/>
      <c r="O187" s="4"/>
      <c r="P187" s="4"/>
    </row>
    <row r="188" spans="1:18" ht="13.5" thickBot="1">
      <c r="A188" s="9"/>
      <c r="B188" s="281" t="s">
        <v>28</v>
      </c>
      <c r="C188" s="282"/>
      <c r="D188" s="282"/>
      <c r="E188" s="29" t="s">
        <v>25</v>
      </c>
      <c r="F188" s="28"/>
      <c r="G188" s="28"/>
      <c r="H188" s="41"/>
      <c r="I188" s="28"/>
      <c r="J188" s="41"/>
      <c r="K188" s="28"/>
      <c r="L188" s="10"/>
      <c r="M188" s="4"/>
      <c r="N188" s="4"/>
      <c r="O188" s="4"/>
      <c r="P188" s="4"/>
    </row>
    <row r="189" spans="1:18" ht="13.5" thickTop="1">
      <c r="A189" s="9"/>
      <c r="B189" s="22">
        <v>50</v>
      </c>
      <c r="C189" s="23" t="s">
        <v>323</v>
      </c>
      <c r="D189" s="23" t="s">
        <v>251</v>
      </c>
      <c r="E189" s="23" t="s">
        <v>324</v>
      </c>
      <c r="F189" s="24" t="s">
        <v>57</v>
      </c>
      <c r="G189" s="30">
        <f>ROUND(79.03,3)</f>
        <v>79.03</v>
      </c>
      <c r="H189" s="42">
        <f>ROUND(0,2)</f>
        <v>0</v>
      </c>
      <c r="I189" s="31">
        <f>ROUND(H189*G189,2)</f>
        <v>0</v>
      </c>
      <c r="J189" s="46" t="s">
        <v>25</v>
      </c>
      <c r="K189" s="31">
        <f>IF(ISNUMBER(J189),ROUND(I189*(J189+1),2),0)</f>
        <v>0</v>
      </c>
      <c r="L189" s="10"/>
      <c r="M189" s="4"/>
      <c r="N189" s="4"/>
      <c r="O189" s="4"/>
      <c r="P189" s="4"/>
      <c r="Q189" s="1">
        <f>IF(ISNUMBER(J189),IF(G189&gt;0,IF(H189&gt;0,I189,0),0),0)</f>
        <v>0</v>
      </c>
      <c r="R189" s="1">
        <f>IF(ISNUMBER(J189)=FALSE,I189,0)</f>
        <v>0</v>
      </c>
    </row>
    <row r="190" spans="1:18">
      <c r="A190" s="9"/>
      <c r="B190" s="283" t="s">
        <v>27</v>
      </c>
      <c r="C190" s="276"/>
      <c r="D190" s="276"/>
      <c r="E190" s="27" t="s">
        <v>326</v>
      </c>
      <c r="F190" s="3"/>
      <c r="G190" s="3"/>
      <c r="H190" s="39"/>
      <c r="I190" s="3"/>
      <c r="J190" s="39"/>
      <c r="K190" s="3"/>
      <c r="L190" s="10"/>
      <c r="M190" s="4"/>
      <c r="N190" s="4"/>
      <c r="O190" s="4"/>
      <c r="P190" s="4"/>
    </row>
    <row r="191" spans="1:18" ht="13.5" thickBot="1">
      <c r="A191" s="9"/>
      <c r="B191" s="281" t="s">
        <v>28</v>
      </c>
      <c r="C191" s="282"/>
      <c r="D191" s="282"/>
      <c r="E191" s="29" t="s">
        <v>25</v>
      </c>
      <c r="F191" s="28"/>
      <c r="G191" s="28"/>
      <c r="H191" s="41"/>
      <c r="I191" s="28"/>
      <c r="J191" s="41"/>
      <c r="K191" s="28"/>
      <c r="L191" s="10"/>
      <c r="M191" s="4"/>
      <c r="N191" s="4"/>
      <c r="O191" s="4"/>
      <c r="P191" s="4"/>
    </row>
    <row r="192" spans="1:18" ht="13.5" thickTop="1">
      <c r="A192" s="9"/>
      <c r="B192" s="22">
        <v>51</v>
      </c>
      <c r="C192" s="23" t="s">
        <v>327</v>
      </c>
      <c r="D192" s="23" t="s">
        <v>25</v>
      </c>
      <c r="E192" s="23" t="s">
        <v>328</v>
      </c>
      <c r="F192" s="24" t="s">
        <v>57</v>
      </c>
      <c r="G192" s="30">
        <f>ROUND(13.68,3)</f>
        <v>13.68</v>
      </c>
      <c r="H192" s="42">
        <f>ROUND(0,2)</f>
        <v>0</v>
      </c>
      <c r="I192" s="31">
        <f>ROUND(H192*G192,2)</f>
        <v>0</v>
      </c>
      <c r="J192" s="46" t="s">
        <v>25</v>
      </c>
      <c r="K192" s="31">
        <f>IF(ISNUMBER(J192),ROUND(I192*(J192+1),2),0)</f>
        <v>0</v>
      </c>
      <c r="L192" s="10"/>
      <c r="M192" s="4"/>
      <c r="N192" s="4"/>
      <c r="O192" s="4"/>
      <c r="P192" s="4"/>
      <c r="Q192" s="1">
        <f>IF(ISNUMBER(J192),IF(G192&gt;0,IF(H192&gt;0,I192,0),0),0)</f>
        <v>0</v>
      </c>
      <c r="R192" s="1">
        <f>IF(ISNUMBER(J192)=FALSE,I192,0)</f>
        <v>0</v>
      </c>
    </row>
    <row r="193" spans="1:18">
      <c r="A193" s="9"/>
      <c r="B193" s="283" t="s">
        <v>27</v>
      </c>
      <c r="C193" s="276"/>
      <c r="D193" s="276"/>
      <c r="E193" s="27" t="s">
        <v>329</v>
      </c>
      <c r="F193" s="3"/>
      <c r="G193" s="3"/>
      <c r="H193" s="39"/>
      <c r="I193" s="3"/>
      <c r="J193" s="39"/>
      <c r="K193" s="3"/>
      <c r="L193" s="10"/>
      <c r="M193" s="4"/>
      <c r="N193" s="4"/>
      <c r="O193" s="4"/>
      <c r="P193" s="4"/>
    </row>
    <row r="194" spans="1:18" ht="13.5" thickBot="1">
      <c r="A194" s="9"/>
      <c r="B194" s="281" t="s">
        <v>28</v>
      </c>
      <c r="C194" s="282"/>
      <c r="D194" s="282"/>
      <c r="E194" s="29" t="s">
        <v>25</v>
      </c>
      <c r="F194" s="28"/>
      <c r="G194" s="28"/>
      <c r="H194" s="41"/>
      <c r="I194" s="28"/>
      <c r="J194" s="41"/>
      <c r="K194" s="28"/>
      <c r="L194" s="10"/>
      <c r="M194" s="4"/>
      <c r="N194" s="4"/>
      <c r="O194" s="4"/>
      <c r="P194" s="4"/>
    </row>
    <row r="195" spans="1:18" ht="13.5" thickTop="1">
      <c r="A195" s="9"/>
      <c r="B195" s="22">
        <v>52</v>
      </c>
      <c r="C195" s="23" t="s">
        <v>330</v>
      </c>
      <c r="D195" s="23" t="s">
        <v>25</v>
      </c>
      <c r="E195" s="23" t="s">
        <v>331</v>
      </c>
      <c r="F195" s="24" t="s">
        <v>24</v>
      </c>
      <c r="G195" s="30">
        <f>ROUND(2.09,3)</f>
        <v>2.09</v>
      </c>
      <c r="H195" s="42">
        <f>ROUND(0,2)</f>
        <v>0</v>
      </c>
      <c r="I195" s="31">
        <f>ROUND(H195*G195,2)</f>
        <v>0</v>
      </c>
      <c r="J195" s="46" t="s">
        <v>25</v>
      </c>
      <c r="K195" s="31">
        <f>IF(ISNUMBER(J195),ROUND(I195*(J195+1),2),0)</f>
        <v>0</v>
      </c>
      <c r="L195" s="10"/>
      <c r="M195" s="4"/>
      <c r="N195" s="4"/>
      <c r="O195" s="4"/>
      <c r="P195" s="4"/>
      <c r="Q195" s="1">
        <f>IF(ISNUMBER(J195),IF(G195&gt;0,IF(H195&gt;0,I195,0),0),0)</f>
        <v>0</v>
      </c>
      <c r="R195" s="1">
        <f>IF(ISNUMBER(J195)=FALSE,I195,0)</f>
        <v>0</v>
      </c>
    </row>
    <row r="196" spans="1:18">
      <c r="A196" s="9"/>
      <c r="B196" s="283" t="s">
        <v>27</v>
      </c>
      <c r="C196" s="276"/>
      <c r="D196" s="276"/>
      <c r="E196" s="27" t="s">
        <v>332</v>
      </c>
      <c r="F196" s="3"/>
      <c r="G196" s="3"/>
      <c r="H196" s="39"/>
      <c r="I196" s="3"/>
      <c r="J196" s="39"/>
      <c r="K196" s="3"/>
      <c r="L196" s="10"/>
      <c r="M196" s="4"/>
      <c r="N196" s="4"/>
      <c r="O196" s="4"/>
      <c r="P196" s="4"/>
    </row>
    <row r="197" spans="1:18" ht="13.5" thickBot="1">
      <c r="A197" s="9"/>
      <c r="B197" s="281" t="s">
        <v>28</v>
      </c>
      <c r="C197" s="282"/>
      <c r="D197" s="282"/>
      <c r="E197" s="29" t="s">
        <v>25</v>
      </c>
      <c r="F197" s="28"/>
      <c r="G197" s="28"/>
      <c r="H197" s="41"/>
      <c r="I197" s="28"/>
      <c r="J197" s="41"/>
      <c r="K197" s="28"/>
      <c r="L197" s="10"/>
      <c r="M197" s="4"/>
      <c r="N197" s="4"/>
      <c r="O197" s="4"/>
      <c r="P197" s="4"/>
    </row>
    <row r="198" spans="1:18" ht="13.5" thickTop="1">
      <c r="A198" s="9"/>
      <c r="B198" s="22">
        <v>53</v>
      </c>
      <c r="C198" s="23" t="s">
        <v>333</v>
      </c>
      <c r="D198" s="23" t="s">
        <v>25</v>
      </c>
      <c r="E198" s="23" t="s">
        <v>334</v>
      </c>
      <c r="F198" s="24" t="s">
        <v>57</v>
      </c>
      <c r="G198" s="30">
        <f>ROUND(6.68,3)</f>
        <v>6.68</v>
      </c>
      <c r="H198" s="42">
        <f>ROUND(0,2)</f>
        <v>0</v>
      </c>
      <c r="I198" s="31">
        <f>ROUND(H198*G198,2)</f>
        <v>0</v>
      </c>
      <c r="J198" s="46" t="s">
        <v>25</v>
      </c>
      <c r="K198" s="31">
        <f>IF(ISNUMBER(J198),ROUND(I198*(J198+1),2),0)</f>
        <v>0</v>
      </c>
      <c r="L198" s="10"/>
      <c r="M198" s="4"/>
      <c r="N198" s="4"/>
      <c r="O198" s="4"/>
      <c r="P198" s="4"/>
      <c r="Q198" s="1">
        <f>IF(ISNUMBER(J198),IF(G198&gt;0,IF(H198&gt;0,I198,0),0),0)</f>
        <v>0</v>
      </c>
      <c r="R198" s="1">
        <f>IF(ISNUMBER(J198)=FALSE,I198,0)</f>
        <v>0</v>
      </c>
    </row>
    <row r="199" spans="1:18">
      <c r="A199" s="9"/>
      <c r="B199" s="283" t="s">
        <v>27</v>
      </c>
      <c r="C199" s="276"/>
      <c r="D199" s="276"/>
      <c r="E199" s="27" t="s">
        <v>25</v>
      </c>
      <c r="F199" s="3"/>
      <c r="G199" s="3"/>
      <c r="H199" s="39"/>
      <c r="I199" s="3"/>
      <c r="J199" s="39"/>
      <c r="K199" s="3"/>
      <c r="L199" s="10"/>
      <c r="M199" s="4"/>
      <c r="N199" s="4"/>
      <c r="O199" s="4"/>
      <c r="P199" s="4"/>
    </row>
    <row r="200" spans="1:18" ht="13.5" thickBot="1">
      <c r="A200" s="9"/>
      <c r="B200" s="281" t="s">
        <v>28</v>
      </c>
      <c r="C200" s="282"/>
      <c r="D200" s="282"/>
      <c r="E200" s="29" t="s">
        <v>25</v>
      </c>
      <c r="F200" s="28"/>
      <c r="G200" s="28"/>
      <c r="H200" s="41"/>
      <c r="I200" s="28"/>
      <c r="J200" s="41"/>
      <c r="K200" s="28"/>
      <c r="L200" s="10"/>
      <c r="M200" s="4"/>
      <c r="N200" s="4"/>
      <c r="O200" s="4"/>
      <c r="P200" s="4"/>
    </row>
    <row r="201" spans="1:18" ht="13.5" thickTop="1">
      <c r="A201" s="9"/>
      <c r="B201" s="22">
        <v>54</v>
      </c>
      <c r="C201" s="23" t="s">
        <v>335</v>
      </c>
      <c r="D201" s="23" t="s">
        <v>25</v>
      </c>
      <c r="E201" s="23" t="s">
        <v>336</v>
      </c>
      <c r="F201" s="24" t="s">
        <v>57</v>
      </c>
      <c r="G201" s="30">
        <f>ROUND(33.5,3)</f>
        <v>33.5</v>
      </c>
      <c r="H201" s="42">
        <f>ROUND(0,2)</f>
        <v>0</v>
      </c>
      <c r="I201" s="31">
        <f>ROUND(H201*G201,2)</f>
        <v>0</v>
      </c>
      <c r="J201" s="46" t="s">
        <v>25</v>
      </c>
      <c r="K201" s="31">
        <f>IF(ISNUMBER(J201),ROUND(I201*(J201+1),2),0)</f>
        <v>0</v>
      </c>
      <c r="L201" s="10"/>
      <c r="M201" s="4"/>
      <c r="N201" s="4"/>
      <c r="O201" s="4"/>
      <c r="P201" s="4"/>
      <c r="Q201" s="1">
        <f>IF(ISNUMBER(J201),IF(G201&gt;0,IF(H201&gt;0,I201,0),0),0)</f>
        <v>0</v>
      </c>
      <c r="R201" s="1">
        <f>IF(ISNUMBER(J201)=FALSE,I201,0)</f>
        <v>0</v>
      </c>
    </row>
    <row r="202" spans="1:18">
      <c r="A202" s="9"/>
      <c r="B202" s="283" t="s">
        <v>27</v>
      </c>
      <c r="C202" s="276"/>
      <c r="D202" s="276"/>
      <c r="E202" s="27" t="s">
        <v>337</v>
      </c>
      <c r="F202" s="3"/>
      <c r="G202" s="3"/>
      <c r="H202" s="39"/>
      <c r="I202" s="3"/>
      <c r="J202" s="39"/>
      <c r="K202" s="3"/>
      <c r="L202" s="10"/>
      <c r="M202" s="4"/>
      <c r="N202" s="4"/>
      <c r="O202" s="4"/>
      <c r="P202" s="4"/>
    </row>
    <row r="203" spans="1:18" ht="13.5" thickBot="1">
      <c r="A203" s="9"/>
      <c r="B203" s="281" t="s">
        <v>28</v>
      </c>
      <c r="C203" s="282"/>
      <c r="D203" s="282"/>
      <c r="E203" s="29" t="s">
        <v>25</v>
      </c>
      <c r="F203" s="28"/>
      <c r="G203" s="28"/>
      <c r="H203" s="41"/>
      <c r="I203" s="28"/>
      <c r="J203" s="41"/>
      <c r="K203" s="28"/>
      <c r="L203" s="10"/>
      <c r="M203" s="4"/>
      <c r="N203" s="4"/>
      <c r="O203" s="4"/>
      <c r="P203" s="4"/>
    </row>
    <row r="204" spans="1:18" ht="13.5" thickTop="1">
      <c r="A204" s="9"/>
      <c r="B204" s="22">
        <v>55</v>
      </c>
      <c r="C204" s="23" t="s">
        <v>338</v>
      </c>
      <c r="D204" s="23" t="s">
        <v>25</v>
      </c>
      <c r="E204" s="23" t="s">
        <v>339</v>
      </c>
      <c r="F204" s="24" t="s">
        <v>57</v>
      </c>
      <c r="G204" s="30">
        <f>ROUND(105.37,3)</f>
        <v>105.37</v>
      </c>
      <c r="H204" s="42">
        <f>ROUND(0,2)</f>
        <v>0</v>
      </c>
      <c r="I204" s="31">
        <f>ROUND(H204*G204,2)</f>
        <v>0</v>
      </c>
      <c r="J204" s="46" t="s">
        <v>25</v>
      </c>
      <c r="K204" s="31">
        <f>IF(ISNUMBER(J204),ROUND(I204*(J204+1),2),0)</f>
        <v>0</v>
      </c>
      <c r="L204" s="10"/>
      <c r="M204" s="4"/>
      <c r="N204" s="4"/>
      <c r="O204" s="4"/>
      <c r="P204" s="4"/>
      <c r="Q204" s="1">
        <f>IF(ISNUMBER(J204),IF(G204&gt;0,IF(H204&gt;0,I204,0),0),0)</f>
        <v>0</v>
      </c>
      <c r="R204" s="1">
        <f>IF(ISNUMBER(J204)=FALSE,I204,0)</f>
        <v>0</v>
      </c>
    </row>
    <row r="205" spans="1:18">
      <c r="A205" s="9"/>
      <c r="B205" s="283" t="s">
        <v>27</v>
      </c>
      <c r="C205" s="276"/>
      <c r="D205" s="276"/>
      <c r="E205" s="27" t="s">
        <v>25</v>
      </c>
      <c r="F205" s="3"/>
      <c r="G205" s="3"/>
      <c r="H205" s="39"/>
      <c r="I205" s="3"/>
      <c r="J205" s="39"/>
      <c r="K205" s="3"/>
      <c r="L205" s="10"/>
      <c r="M205" s="4"/>
      <c r="N205" s="4"/>
      <c r="O205" s="4"/>
      <c r="P205" s="4"/>
    </row>
    <row r="206" spans="1:18" ht="13.5" thickBot="1">
      <c r="A206" s="9"/>
      <c r="B206" s="281" t="s">
        <v>28</v>
      </c>
      <c r="C206" s="282"/>
      <c r="D206" s="282"/>
      <c r="E206" s="29" t="s">
        <v>25</v>
      </c>
      <c r="F206" s="28"/>
      <c r="G206" s="28"/>
      <c r="H206" s="41"/>
      <c r="I206" s="28"/>
      <c r="J206" s="41"/>
      <c r="K206" s="28"/>
      <c r="L206" s="10"/>
      <c r="M206" s="4"/>
      <c r="N206" s="4"/>
      <c r="O206" s="4"/>
      <c r="P206" s="4"/>
    </row>
    <row r="207" spans="1:18" ht="13.5" thickTop="1">
      <c r="A207" s="9"/>
      <c r="B207" s="22">
        <v>56</v>
      </c>
      <c r="C207" s="23" t="s">
        <v>340</v>
      </c>
      <c r="D207" s="23" t="s">
        <v>25</v>
      </c>
      <c r="E207" s="23" t="s">
        <v>341</v>
      </c>
      <c r="F207" s="24" t="s">
        <v>49</v>
      </c>
      <c r="G207" s="30">
        <f>ROUND(44.55,3)</f>
        <v>44.55</v>
      </c>
      <c r="H207" s="42">
        <f>ROUND(0,2)</f>
        <v>0</v>
      </c>
      <c r="I207" s="31">
        <f>ROUND(H207*G207,2)</f>
        <v>0</v>
      </c>
      <c r="J207" s="46" t="s">
        <v>25</v>
      </c>
      <c r="K207" s="31">
        <f>IF(ISNUMBER(J207),ROUND(I207*(J207+1),2),0)</f>
        <v>0</v>
      </c>
      <c r="L207" s="10"/>
      <c r="M207" s="4"/>
      <c r="N207" s="4"/>
      <c r="O207" s="4"/>
      <c r="P207" s="4"/>
      <c r="Q207" s="1">
        <f>IF(ISNUMBER(J207),IF(G207&gt;0,IF(H207&gt;0,I207,0),0),0)</f>
        <v>0</v>
      </c>
      <c r="R207" s="1">
        <f>IF(ISNUMBER(J207)=FALSE,I207,0)</f>
        <v>0</v>
      </c>
    </row>
    <row r="208" spans="1:18">
      <c r="A208" s="9"/>
      <c r="B208" s="283" t="s">
        <v>27</v>
      </c>
      <c r="C208" s="276"/>
      <c r="D208" s="276"/>
      <c r="E208" s="27" t="s">
        <v>25</v>
      </c>
      <c r="F208" s="3"/>
      <c r="G208" s="3"/>
      <c r="H208" s="39"/>
      <c r="I208" s="3"/>
      <c r="J208" s="39"/>
      <c r="K208" s="3"/>
      <c r="L208" s="10"/>
      <c r="M208" s="4"/>
      <c r="N208" s="4"/>
      <c r="O208" s="4"/>
      <c r="P208" s="4"/>
    </row>
    <row r="209" spans="1:19" ht="13.5" thickBot="1">
      <c r="A209" s="9"/>
      <c r="B209" s="281" t="s">
        <v>28</v>
      </c>
      <c r="C209" s="282"/>
      <c r="D209" s="282"/>
      <c r="E209" s="29" t="s">
        <v>25</v>
      </c>
      <c r="F209" s="28"/>
      <c r="G209" s="28"/>
      <c r="H209" s="41"/>
      <c r="I209" s="28"/>
      <c r="J209" s="41"/>
      <c r="K209" s="28"/>
      <c r="L209" s="10"/>
      <c r="M209" s="4"/>
      <c r="N209" s="4"/>
      <c r="O209" s="4"/>
      <c r="P209" s="4"/>
    </row>
    <row r="210" spans="1:19" ht="24.95" customHeight="1" thickTop="1" thickBot="1">
      <c r="A210" s="9"/>
      <c r="B210" s="32"/>
      <c r="C210" s="33">
        <v>4</v>
      </c>
      <c r="D210" s="32"/>
      <c r="E210" s="34" t="s">
        <v>122</v>
      </c>
      <c r="F210" s="35" t="s">
        <v>44</v>
      </c>
      <c r="G210" s="36">
        <f>I162+I165+I168+I171+I174+I177+I180+I183+I186+I189+I192+I195+I198+I201+I204+I207</f>
        <v>0</v>
      </c>
      <c r="H210" s="43" t="s">
        <v>45</v>
      </c>
      <c r="I210" s="37">
        <f>IF(COUNT(J162:J210)&gt;0,AVERAGE(J162:J210),0.21)</f>
        <v>0.21</v>
      </c>
      <c r="J210" s="43" t="s">
        <v>46</v>
      </c>
      <c r="K210" s="36">
        <f>ROUND(Q210*(1+I210),2)+R210</f>
        <v>0</v>
      </c>
      <c r="L210" s="10"/>
      <c r="M210" s="4"/>
      <c r="N210" s="4"/>
      <c r="O210" s="4"/>
      <c r="P210" s="4"/>
      <c r="Q210" s="1">
        <f>0+Q162+Q165+Q168+Q171+Q174+Q177+Q180+Q183+Q186+Q189+Q192+Q195+Q198+Q201+Q204+Q207</f>
        <v>0</v>
      </c>
      <c r="R210" s="1">
        <f>0+R162+R165+R168+R171+R174+R177+R180+R183+R186+R189+R192+R195+R198+R201+R204+R207</f>
        <v>0</v>
      </c>
      <c r="S210" s="2">
        <f>Q210*(1+I210)+R210</f>
        <v>0</v>
      </c>
    </row>
    <row r="211" spans="1:19" ht="39.950000000000003" customHeight="1">
      <c r="A211" s="9"/>
      <c r="B211" s="284" t="s">
        <v>346</v>
      </c>
      <c r="C211" s="276"/>
      <c r="D211" s="276"/>
      <c r="E211" s="285"/>
      <c r="F211" s="276"/>
      <c r="G211" s="276"/>
      <c r="H211" s="286"/>
      <c r="I211" s="276"/>
      <c r="J211" s="286"/>
      <c r="K211" s="276"/>
      <c r="L211" s="10"/>
      <c r="M211" s="4"/>
      <c r="N211" s="4"/>
      <c r="O211" s="4"/>
      <c r="P211" s="4"/>
    </row>
    <row r="212" spans="1:19">
      <c r="A212" s="9"/>
      <c r="B212" s="22">
        <v>57</v>
      </c>
      <c r="C212" s="23" t="s">
        <v>342</v>
      </c>
      <c r="D212" s="23" t="s">
        <v>185</v>
      </c>
      <c r="E212" s="23" t="s">
        <v>343</v>
      </c>
      <c r="F212" s="24" t="s">
        <v>49</v>
      </c>
      <c r="G212" s="25">
        <f>ROUND(26.38,3)</f>
        <v>26.38</v>
      </c>
      <c r="H212" s="40">
        <f>ROUND(0,2)</f>
        <v>0</v>
      </c>
      <c r="I212" s="26">
        <f>ROUND(H212*G212,2)</f>
        <v>0</v>
      </c>
      <c r="J212" s="45" t="s">
        <v>25</v>
      </c>
      <c r="K212" s="26">
        <f>IF(ISNUMBER(J212),ROUND(I212*(J212+1),2),0)</f>
        <v>0</v>
      </c>
      <c r="L212" s="10"/>
      <c r="M212" s="4"/>
      <c r="N212" s="4"/>
      <c r="O212" s="4"/>
      <c r="P212" s="4"/>
      <c r="Q212" s="1">
        <f>IF(ISNUMBER(J212),IF(G212&gt;0,IF(H212&gt;0,I212,0),0),0)</f>
        <v>0</v>
      </c>
      <c r="R212" s="1">
        <f>IF(ISNUMBER(J212)=FALSE,I212,0)</f>
        <v>0</v>
      </c>
    </row>
    <row r="213" spans="1:19">
      <c r="A213" s="9"/>
      <c r="B213" s="283" t="s">
        <v>27</v>
      </c>
      <c r="C213" s="276"/>
      <c r="D213" s="276"/>
      <c r="E213" s="27" t="s">
        <v>25</v>
      </c>
      <c r="F213" s="3"/>
      <c r="G213" s="3"/>
      <c r="H213" s="39"/>
      <c r="I213" s="3"/>
      <c r="J213" s="39"/>
      <c r="K213" s="3"/>
      <c r="L213" s="10"/>
      <c r="M213" s="4"/>
      <c r="N213" s="4"/>
      <c r="O213" s="4"/>
      <c r="P213" s="4"/>
    </row>
    <row r="214" spans="1:19" ht="13.5" thickBot="1">
      <c r="A214" s="9"/>
      <c r="B214" s="281" t="s">
        <v>28</v>
      </c>
      <c r="C214" s="282"/>
      <c r="D214" s="282"/>
      <c r="E214" s="29" t="s">
        <v>25</v>
      </c>
      <c r="F214" s="28"/>
      <c r="G214" s="28"/>
      <c r="H214" s="41"/>
      <c r="I214" s="28"/>
      <c r="J214" s="41"/>
      <c r="K214" s="28"/>
      <c r="L214" s="10"/>
      <c r="M214" s="4"/>
      <c r="N214" s="4"/>
      <c r="O214" s="4"/>
      <c r="P214" s="4"/>
    </row>
    <row r="215" spans="1:19" ht="13.5" thickTop="1">
      <c r="A215" s="9"/>
      <c r="B215" s="22">
        <v>58</v>
      </c>
      <c r="C215" s="23" t="s">
        <v>344</v>
      </c>
      <c r="D215" s="23" t="s">
        <v>185</v>
      </c>
      <c r="E215" s="23" t="s">
        <v>345</v>
      </c>
      <c r="F215" s="24" t="s">
        <v>49</v>
      </c>
      <c r="G215" s="30">
        <f>ROUND(1.82,3)</f>
        <v>1.82</v>
      </c>
      <c r="H215" s="42">
        <f>ROUND(0,2)</f>
        <v>0</v>
      </c>
      <c r="I215" s="31">
        <f>ROUND(H215*G215,2)</f>
        <v>0</v>
      </c>
      <c r="J215" s="46" t="s">
        <v>25</v>
      </c>
      <c r="K215" s="31">
        <f>IF(ISNUMBER(J215),ROUND(I215*(J215+1),2),0)</f>
        <v>0</v>
      </c>
      <c r="L215" s="10"/>
      <c r="M215" s="4"/>
      <c r="N215" s="4"/>
      <c r="O215" s="4"/>
      <c r="P215" s="4"/>
      <c r="Q215" s="1">
        <f>IF(ISNUMBER(J215),IF(G215&gt;0,IF(H215&gt;0,I215,0),0),0)</f>
        <v>0</v>
      </c>
      <c r="R215" s="1">
        <f>IF(ISNUMBER(J215)=FALSE,I215,0)</f>
        <v>0</v>
      </c>
    </row>
    <row r="216" spans="1:19">
      <c r="A216" s="9"/>
      <c r="B216" s="283" t="s">
        <v>27</v>
      </c>
      <c r="C216" s="276"/>
      <c r="D216" s="276"/>
      <c r="E216" s="27" t="s">
        <v>25</v>
      </c>
      <c r="F216" s="3"/>
      <c r="G216" s="3"/>
      <c r="H216" s="39"/>
      <c r="I216" s="3"/>
      <c r="J216" s="39"/>
      <c r="K216" s="3"/>
      <c r="L216" s="10"/>
      <c r="M216" s="4"/>
      <c r="N216" s="4"/>
      <c r="O216" s="4"/>
      <c r="P216" s="4"/>
    </row>
    <row r="217" spans="1:19" ht="13.5" thickBot="1">
      <c r="A217" s="9"/>
      <c r="B217" s="281" t="s">
        <v>28</v>
      </c>
      <c r="C217" s="282"/>
      <c r="D217" s="282"/>
      <c r="E217" s="29" t="s">
        <v>25</v>
      </c>
      <c r="F217" s="28"/>
      <c r="G217" s="28"/>
      <c r="H217" s="41"/>
      <c r="I217" s="28"/>
      <c r="J217" s="41"/>
      <c r="K217" s="28"/>
      <c r="L217" s="10"/>
      <c r="M217" s="4"/>
      <c r="N217" s="4"/>
      <c r="O217" s="4"/>
      <c r="P217" s="4"/>
    </row>
    <row r="218" spans="1:19" ht="24.95" customHeight="1" thickTop="1" thickBot="1">
      <c r="A218" s="9"/>
      <c r="B218" s="32"/>
      <c r="C218" s="33">
        <v>6</v>
      </c>
      <c r="D218" s="32"/>
      <c r="E218" s="34" t="s">
        <v>347</v>
      </c>
      <c r="F218" s="35" t="s">
        <v>44</v>
      </c>
      <c r="G218" s="36">
        <f>I212+I215</f>
        <v>0</v>
      </c>
      <c r="H218" s="43" t="s">
        <v>45</v>
      </c>
      <c r="I218" s="37">
        <f>IF(COUNT(J212:J218)&gt;0,AVERAGE(J212:J218),0.21)</f>
        <v>0.21</v>
      </c>
      <c r="J218" s="43" t="s">
        <v>46</v>
      </c>
      <c r="K218" s="36">
        <f>ROUND(Q218*(1+I218),2)+R218</f>
        <v>0</v>
      </c>
      <c r="L218" s="10"/>
      <c r="M218" s="4"/>
      <c r="N218" s="4"/>
      <c r="O218" s="4"/>
      <c r="P218" s="4"/>
      <c r="Q218" s="1">
        <f>0+Q212+Q215</f>
        <v>0</v>
      </c>
      <c r="R218" s="1">
        <f>0+R212+R215</f>
        <v>0</v>
      </c>
      <c r="S218" s="2">
        <f>Q218*(1+I218)+R218</f>
        <v>0</v>
      </c>
    </row>
    <row r="219" spans="1:19" ht="39.950000000000003" customHeight="1">
      <c r="A219" s="9"/>
      <c r="B219" s="284" t="s">
        <v>356</v>
      </c>
      <c r="C219" s="276"/>
      <c r="D219" s="276"/>
      <c r="E219" s="285"/>
      <c r="F219" s="276"/>
      <c r="G219" s="276"/>
      <c r="H219" s="286"/>
      <c r="I219" s="276"/>
      <c r="J219" s="286"/>
      <c r="K219" s="276"/>
      <c r="L219" s="10"/>
      <c r="M219" s="4"/>
      <c r="N219" s="4"/>
      <c r="O219" s="4"/>
      <c r="P219" s="4"/>
    </row>
    <row r="220" spans="1:19">
      <c r="A220" s="9"/>
      <c r="B220" s="22">
        <v>59</v>
      </c>
      <c r="C220" s="23" t="s">
        <v>348</v>
      </c>
      <c r="D220" s="23" t="s">
        <v>25</v>
      </c>
      <c r="E220" s="23" t="s">
        <v>349</v>
      </c>
      <c r="F220" s="24" t="s">
        <v>49</v>
      </c>
      <c r="G220" s="25">
        <f>ROUND(277.82,3)</f>
        <v>277.82</v>
      </c>
      <c r="H220" s="40">
        <f>ROUND(0,2)</f>
        <v>0</v>
      </c>
      <c r="I220" s="26">
        <f>ROUND(H220*G220,2)</f>
        <v>0</v>
      </c>
      <c r="J220" s="45" t="s">
        <v>25</v>
      </c>
      <c r="K220" s="26">
        <f>IF(ISNUMBER(J220),ROUND(I220*(J220+1),2),0)</f>
        <v>0</v>
      </c>
      <c r="L220" s="10"/>
      <c r="M220" s="4"/>
      <c r="N220" s="4"/>
      <c r="O220" s="4"/>
      <c r="P220" s="4"/>
      <c r="Q220" s="1">
        <f>IF(ISNUMBER(J220),IF(G220&gt;0,IF(H220&gt;0,I220,0),0),0)</f>
        <v>0</v>
      </c>
      <c r="R220" s="1">
        <f>IF(ISNUMBER(J220)=FALSE,I220,0)</f>
        <v>0</v>
      </c>
    </row>
    <row r="221" spans="1:19">
      <c r="A221" s="9"/>
      <c r="B221" s="283" t="s">
        <v>27</v>
      </c>
      <c r="C221" s="276"/>
      <c r="D221" s="276"/>
      <c r="E221" s="27" t="s">
        <v>25</v>
      </c>
      <c r="F221" s="3"/>
      <c r="G221" s="3"/>
      <c r="H221" s="39"/>
      <c r="I221" s="3"/>
      <c r="J221" s="39"/>
      <c r="K221" s="3"/>
      <c r="L221" s="10"/>
      <c r="M221" s="4"/>
      <c r="N221" s="4"/>
      <c r="O221" s="4"/>
      <c r="P221" s="4"/>
    </row>
    <row r="222" spans="1:19" ht="13.5" thickBot="1">
      <c r="A222" s="9"/>
      <c r="B222" s="281" t="s">
        <v>28</v>
      </c>
      <c r="C222" s="282"/>
      <c r="D222" s="282"/>
      <c r="E222" s="29" t="s">
        <v>25</v>
      </c>
      <c r="F222" s="28"/>
      <c r="G222" s="28"/>
      <c r="H222" s="41"/>
      <c r="I222" s="28"/>
      <c r="J222" s="41"/>
      <c r="K222" s="28"/>
      <c r="L222" s="10"/>
      <c r="M222" s="4"/>
      <c r="N222" s="4"/>
      <c r="O222" s="4"/>
      <c r="P222" s="4"/>
    </row>
    <row r="223" spans="1:19" ht="13.5" thickTop="1">
      <c r="A223" s="9"/>
      <c r="B223" s="22">
        <v>60</v>
      </c>
      <c r="C223" s="23" t="s">
        <v>350</v>
      </c>
      <c r="D223" s="23" t="s">
        <v>185</v>
      </c>
      <c r="E223" s="23" t="s">
        <v>351</v>
      </c>
      <c r="F223" s="24" t="s">
        <v>49</v>
      </c>
      <c r="G223" s="30">
        <f>ROUND(1406,3)</f>
        <v>1406</v>
      </c>
      <c r="H223" s="42">
        <f>ROUND(0,2)</f>
        <v>0</v>
      </c>
      <c r="I223" s="31">
        <f>ROUND(H223*G223,2)</f>
        <v>0</v>
      </c>
      <c r="J223" s="46" t="s">
        <v>25</v>
      </c>
      <c r="K223" s="31">
        <f>IF(ISNUMBER(J223),ROUND(I223*(J223+1),2),0)</f>
        <v>0</v>
      </c>
      <c r="L223" s="10"/>
      <c r="M223" s="4"/>
      <c r="N223" s="4"/>
      <c r="O223" s="4"/>
      <c r="P223" s="4"/>
      <c r="Q223" s="1">
        <f>IF(ISNUMBER(J223),IF(G223&gt;0,IF(H223&gt;0,I223,0),0),0)</f>
        <v>0</v>
      </c>
      <c r="R223" s="1">
        <f>IF(ISNUMBER(J223)=FALSE,I223,0)</f>
        <v>0</v>
      </c>
    </row>
    <row r="224" spans="1:19">
      <c r="A224" s="9"/>
      <c r="B224" s="283" t="s">
        <v>27</v>
      </c>
      <c r="C224" s="276"/>
      <c r="D224" s="276"/>
      <c r="E224" s="27" t="s">
        <v>25</v>
      </c>
      <c r="F224" s="3"/>
      <c r="G224" s="3"/>
      <c r="H224" s="39"/>
      <c r="I224" s="3"/>
      <c r="J224" s="39"/>
      <c r="K224" s="3"/>
      <c r="L224" s="10"/>
      <c r="M224" s="4"/>
      <c r="N224" s="4"/>
      <c r="O224" s="4"/>
      <c r="P224" s="4"/>
    </row>
    <row r="225" spans="1:19" ht="13.5" thickBot="1">
      <c r="A225" s="9"/>
      <c r="B225" s="281" t="s">
        <v>28</v>
      </c>
      <c r="C225" s="282"/>
      <c r="D225" s="282"/>
      <c r="E225" s="29" t="s">
        <v>25</v>
      </c>
      <c r="F225" s="28"/>
      <c r="G225" s="28"/>
      <c r="H225" s="41"/>
      <c r="I225" s="28"/>
      <c r="J225" s="41"/>
      <c r="K225" s="28"/>
      <c r="L225" s="10"/>
      <c r="M225" s="4"/>
      <c r="N225" s="4"/>
      <c r="O225" s="4"/>
      <c r="P225" s="4"/>
    </row>
    <row r="226" spans="1:19" ht="13.5" thickTop="1">
      <c r="A226" s="9"/>
      <c r="B226" s="22">
        <v>61</v>
      </c>
      <c r="C226" s="23" t="s">
        <v>352</v>
      </c>
      <c r="D226" s="23" t="s">
        <v>25</v>
      </c>
      <c r="E226" s="23" t="s">
        <v>353</v>
      </c>
      <c r="F226" s="24" t="s">
        <v>49</v>
      </c>
      <c r="G226" s="30">
        <f>ROUND(277.82,3)</f>
        <v>277.82</v>
      </c>
      <c r="H226" s="42">
        <f>ROUND(0,2)</f>
        <v>0</v>
      </c>
      <c r="I226" s="31">
        <f>ROUND(H226*G226,2)</f>
        <v>0</v>
      </c>
      <c r="J226" s="46" t="s">
        <v>25</v>
      </c>
      <c r="K226" s="31">
        <f>IF(ISNUMBER(J226),ROUND(I226*(J226+1),2),0)</f>
        <v>0</v>
      </c>
      <c r="L226" s="10"/>
      <c r="M226" s="4"/>
      <c r="N226" s="4"/>
      <c r="O226" s="4"/>
      <c r="P226" s="4"/>
      <c r="Q226" s="1">
        <f>IF(ISNUMBER(J226),IF(G226&gt;0,IF(H226&gt;0,I226,0),0),0)</f>
        <v>0</v>
      </c>
      <c r="R226" s="1">
        <f>IF(ISNUMBER(J226)=FALSE,I226,0)</f>
        <v>0</v>
      </c>
    </row>
    <row r="227" spans="1:19">
      <c r="A227" s="9"/>
      <c r="B227" s="283" t="s">
        <v>27</v>
      </c>
      <c r="C227" s="276"/>
      <c r="D227" s="276"/>
      <c r="E227" s="27" t="s">
        <v>25</v>
      </c>
      <c r="F227" s="3"/>
      <c r="G227" s="3"/>
      <c r="H227" s="39"/>
      <c r="I227" s="3"/>
      <c r="J227" s="39"/>
      <c r="K227" s="3"/>
      <c r="L227" s="10"/>
      <c r="M227" s="4"/>
      <c r="N227" s="4"/>
      <c r="O227" s="4"/>
      <c r="P227" s="4"/>
    </row>
    <row r="228" spans="1:19" ht="13.5" thickBot="1">
      <c r="A228" s="9"/>
      <c r="B228" s="281" t="s">
        <v>28</v>
      </c>
      <c r="C228" s="282"/>
      <c r="D228" s="282"/>
      <c r="E228" s="29" t="s">
        <v>25</v>
      </c>
      <c r="F228" s="28"/>
      <c r="G228" s="28"/>
      <c r="H228" s="41"/>
      <c r="I228" s="28"/>
      <c r="J228" s="41"/>
      <c r="K228" s="28"/>
      <c r="L228" s="10"/>
      <c r="M228" s="4"/>
      <c r="N228" s="4"/>
      <c r="O228" s="4"/>
      <c r="P228" s="4"/>
    </row>
    <row r="229" spans="1:19" ht="13.5" thickTop="1">
      <c r="A229" s="9"/>
      <c r="B229" s="22">
        <v>62</v>
      </c>
      <c r="C229" s="23" t="s">
        <v>354</v>
      </c>
      <c r="D229" s="23" t="s">
        <v>185</v>
      </c>
      <c r="E229" s="23" t="s">
        <v>355</v>
      </c>
      <c r="F229" s="24" t="s">
        <v>49</v>
      </c>
      <c r="G229" s="30">
        <f>ROUND(816.72,3)</f>
        <v>816.72</v>
      </c>
      <c r="H229" s="42">
        <f>ROUND(0,2)</f>
        <v>0</v>
      </c>
      <c r="I229" s="31">
        <f>ROUND(H229*G229,2)</f>
        <v>0</v>
      </c>
      <c r="J229" s="46" t="s">
        <v>25</v>
      </c>
      <c r="K229" s="31">
        <f>IF(ISNUMBER(J229),ROUND(I229*(J229+1),2),0)</f>
        <v>0</v>
      </c>
      <c r="L229" s="10"/>
      <c r="M229" s="4"/>
      <c r="N229" s="4"/>
      <c r="O229" s="4"/>
      <c r="P229" s="4"/>
      <c r="Q229" s="1">
        <f>IF(ISNUMBER(J229),IF(G229&gt;0,IF(H229&gt;0,I229,0),0),0)</f>
        <v>0</v>
      </c>
      <c r="R229" s="1">
        <f>IF(ISNUMBER(J229)=FALSE,I229,0)</f>
        <v>0</v>
      </c>
    </row>
    <row r="230" spans="1:19">
      <c r="A230" s="9"/>
      <c r="B230" s="283" t="s">
        <v>27</v>
      </c>
      <c r="C230" s="276"/>
      <c r="D230" s="276"/>
      <c r="E230" s="27" t="s">
        <v>25</v>
      </c>
      <c r="F230" s="3"/>
      <c r="G230" s="3"/>
      <c r="H230" s="39"/>
      <c r="I230" s="3"/>
      <c r="J230" s="39"/>
      <c r="K230" s="3"/>
      <c r="L230" s="10"/>
      <c r="M230" s="4"/>
      <c r="N230" s="4"/>
      <c r="O230" s="4"/>
      <c r="P230" s="4"/>
    </row>
    <row r="231" spans="1:19" ht="13.5" thickBot="1">
      <c r="A231" s="9"/>
      <c r="B231" s="281" t="s">
        <v>28</v>
      </c>
      <c r="C231" s="282"/>
      <c r="D231" s="282"/>
      <c r="E231" s="29" t="s">
        <v>25</v>
      </c>
      <c r="F231" s="28"/>
      <c r="G231" s="28"/>
      <c r="H231" s="41"/>
      <c r="I231" s="28"/>
      <c r="J231" s="41"/>
      <c r="K231" s="28"/>
      <c r="L231" s="10"/>
      <c r="M231" s="4"/>
      <c r="N231" s="4"/>
      <c r="O231" s="4"/>
      <c r="P231" s="4"/>
    </row>
    <row r="232" spans="1:19" ht="24.95" customHeight="1" thickTop="1" thickBot="1">
      <c r="A232" s="9"/>
      <c r="B232" s="32"/>
      <c r="C232" s="33">
        <v>7</v>
      </c>
      <c r="D232" s="32"/>
      <c r="E232" s="34" t="s">
        <v>357</v>
      </c>
      <c r="F232" s="35" t="s">
        <v>44</v>
      </c>
      <c r="G232" s="36">
        <f>I220+I223+I226+I229</f>
        <v>0</v>
      </c>
      <c r="H232" s="43" t="s">
        <v>45</v>
      </c>
      <c r="I232" s="37">
        <f>IF(COUNT(J220:J232)&gt;0,AVERAGE(J220:J232),0.21)</f>
        <v>0.21</v>
      </c>
      <c r="J232" s="43" t="s">
        <v>46</v>
      </c>
      <c r="K232" s="36">
        <f>ROUND(Q232*(1+I232),2)+R232</f>
        <v>0</v>
      </c>
      <c r="L232" s="10"/>
      <c r="M232" s="4"/>
      <c r="N232" s="4"/>
      <c r="O232" s="4"/>
      <c r="P232" s="4"/>
      <c r="Q232" s="1">
        <f>0+Q220+Q223+Q226+Q229</f>
        <v>0</v>
      </c>
      <c r="R232" s="1">
        <f>0+R220+R223+R226+R229</f>
        <v>0</v>
      </c>
      <c r="S232" s="2">
        <f>Q232*(1+I232)+R232</f>
        <v>0</v>
      </c>
    </row>
    <row r="233" spans="1:19" ht="39.950000000000003" customHeight="1">
      <c r="A233" s="9"/>
      <c r="B233" s="284" t="s">
        <v>162</v>
      </c>
      <c r="C233" s="276"/>
      <c r="D233" s="276"/>
      <c r="E233" s="285"/>
      <c r="F233" s="276"/>
      <c r="G233" s="276"/>
      <c r="H233" s="286"/>
      <c r="I233" s="276"/>
      <c r="J233" s="286"/>
      <c r="K233" s="276"/>
      <c r="L233" s="10"/>
      <c r="M233" s="4"/>
      <c r="N233" s="4"/>
      <c r="O233" s="4"/>
      <c r="P233" s="4"/>
    </row>
    <row r="234" spans="1:19">
      <c r="A234" s="9"/>
      <c r="B234" s="22">
        <v>63</v>
      </c>
      <c r="C234" s="23" t="s">
        <v>358</v>
      </c>
      <c r="D234" s="23" t="s">
        <v>25</v>
      </c>
      <c r="E234" s="23" t="s">
        <v>359</v>
      </c>
      <c r="F234" s="24" t="s">
        <v>64</v>
      </c>
      <c r="G234" s="25">
        <f>ROUND(890,3)</f>
        <v>890</v>
      </c>
      <c r="H234" s="40">
        <f>ROUND(0,2)</f>
        <v>0</v>
      </c>
      <c r="I234" s="26">
        <f>ROUND(H234*G234,2)</f>
        <v>0</v>
      </c>
      <c r="J234" s="45" t="s">
        <v>25</v>
      </c>
      <c r="K234" s="26">
        <f>IF(ISNUMBER(J234),ROUND(I234*(J234+1),2),0)</f>
        <v>0</v>
      </c>
      <c r="L234" s="10"/>
      <c r="M234" s="4"/>
      <c r="N234" s="4"/>
      <c r="O234" s="4"/>
      <c r="P234" s="4"/>
      <c r="Q234" s="1">
        <f>IF(ISNUMBER(J234),IF(G234&gt;0,IF(H234&gt;0,I234,0),0),0)</f>
        <v>0</v>
      </c>
      <c r="R234" s="1">
        <f>IF(ISNUMBER(J234)=FALSE,I234,0)</f>
        <v>0</v>
      </c>
    </row>
    <row r="235" spans="1:19">
      <c r="A235" s="9"/>
      <c r="B235" s="283" t="s">
        <v>27</v>
      </c>
      <c r="C235" s="276"/>
      <c r="D235" s="276"/>
      <c r="E235" s="27" t="s">
        <v>360</v>
      </c>
      <c r="F235" s="3"/>
      <c r="G235" s="3"/>
      <c r="H235" s="39"/>
      <c r="I235" s="3"/>
      <c r="J235" s="39"/>
      <c r="K235" s="3"/>
      <c r="L235" s="10"/>
      <c r="M235" s="4"/>
      <c r="N235" s="4"/>
      <c r="O235" s="4"/>
      <c r="P235" s="4"/>
    </row>
    <row r="236" spans="1:19" ht="13.5" thickBot="1">
      <c r="A236" s="9"/>
      <c r="B236" s="281" t="s">
        <v>28</v>
      </c>
      <c r="C236" s="282"/>
      <c r="D236" s="282"/>
      <c r="E236" s="29" t="s">
        <v>25</v>
      </c>
      <c r="F236" s="28"/>
      <c r="G236" s="28"/>
      <c r="H236" s="41"/>
      <c r="I236" s="28"/>
      <c r="J236" s="41"/>
      <c r="K236" s="28"/>
      <c r="L236" s="10"/>
      <c r="M236" s="4"/>
      <c r="N236" s="4"/>
      <c r="O236" s="4"/>
      <c r="P236" s="4"/>
    </row>
    <row r="237" spans="1:19" ht="24.95" customHeight="1" thickTop="1" thickBot="1">
      <c r="A237" s="9"/>
      <c r="B237" s="32"/>
      <c r="C237" s="33">
        <v>8</v>
      </c>
      <c r="D237" s="32"/>
      <c r="E237" s="34" t="s">
        <v>163</v>
      </c>
      <c r="F237" s="35" t="s">
        <v>44</v>
      </c>
      <c r="G237" s="36">
        <f>0+I234</f>
        <v>0</v>
      </c>
      <c r="H237" s="43" t="s">
        <v>45</v>
      </c>
      <c r="I237" s="37">
        <f>IF(COUNT(J234:J237)&gt;0,AVERAGE(J234:J237),0.21)</f>
        <v>0.21</v>
      </c>
      <c r="J237" s="43" t="s">
        <v>46</v>
      </c>
      <c r="K237" s="36">
        <f>ROUND(Q237*(1+I237),2)+R237</f>
        <v>0</v>
      </c>
      <c r="L237" s="10"/>
      <c r="M237" s="4"/>
      <c r="N237" s="4"/>
      <c r="O237" s="4"/>
      <c r="P237" s="4"/>
      <c r="Q237" s="1">
        <f>0+Q234</f>
        <v>0</v>
      </c>
      <c r="R237" s="1">
        <f>0+R234</f>
        <v>0</v>
      </c>
      <c r="S237" s="2">
        <f>Q237*(1+I237)+R237</f>
        <v>0</v>
      </c>
    </row>
    <row r="238" spans="1:19" ht="39.950000000000003" customHeight="1">
      <c r="A238" s="9"/>
      <c r="B238" s="284" t="s">
        <v>86</v>
      </c>
      <c r="C238" s="276"/>
      <c r="D238" s="276"/>
      <c r="E238" s="285"/>
      <c r="F238" s="276"/>
      <c r="G238" s="276"/>
      <c r="H238" s="286"/>
      <c r="I238" s="276"/>
      <c r="J238" s="286"/>
      <c r="K238" s="276"/>
      <c r="L238" s="10"/>
      <c r="M238" s="4"/>
      <c r="N238" s="4"/>
      <c r="O238" s="4"/>
      <c r="P238" s="4"/>
    </row>
    <row r="239" spans="1:19">
      <c r="A239" s="9"/>
      <c r="B239" s="22">
        <v>64</v>
      </c>
      <c r="C239" s="23" t="s">
        <v>361</v>
      </c>
      <c r="D239" s="23" t="s">
        <v>185</v>
      </c>
      <c r="E239" s="23" t="s">
        <v>362</v>
      </c>
      <c r="F239" s="24" t="s">
        <v>52</v>
      </c>
      <c r="G239" s="25">
        <f>ROUND(44,3)</f>
        <v>44</v>
      </c>
      <c r="H239" s="40">
        <f>ROUND(0,2)</f>
        <v>0</v>
      </c>
      <c r="I239" s="26">
        <f>ROUND(H239*G239,2)</f>
        <v>0</v>
      </c>
      <c r="J239" s="45" t="s">
        <v>25</v>
      </c>
      <c r="K239" s="26">
        <f>IF(ISNUMBER(J239),ROUND(I239*(J239+1),2),0)</f>
        <v>0</v>
      </c>
      <c r="L239" s="10"/>
      <c r="M239" s="4"/>
      <c r="N239" s="4"/>
      <c r="O239" s="4"/>
      <c r="P239" s="4"/>
      <c r="Q239" s="1">
        <f>IF(ISNUMBER(J239),IF(G239&gt;0,IF(H239&gt;0,I239,0),0),0)</f>
        <v>0</v>
      </c>
      <c r="R239" s="1">
        <f>IF(ISNUMBER(J239)=FALSE,I239,0)</f>
        <v>0</v>
      </c>
    </row>
    <row r="240" spans="1:19">
      <c r="A240" s="9"/>
      <c r="B240" s="283" t="s">
        <v>27</v>
      </c>
      <c r="C240" s="276"/>
      <c r="D240" s="276"/>
      <c r="E240" s="27" t="s">
        <v>363</v>
      </c>
      <c r="F240" s="3"/>
      <c r="G240" s="3"/>
      <c r="H240" s="39"/>
      <c r="I240" s="3"/>
      <c r="J240" s="39"/>
      <c r="K240" s="3"/>
      <c r="L240" s="10"/>
      <c r="M240" s="4"/>
      <c r="N240" s="4"/>
      <c r="O240" s="4"/>
      <c r="P240" s="4"/>
    </row>
    <row r="241" spans="1:18" ht="13.5" thickBot="1">
      <c r="A241" s="9"/>
      <c r="B241" s="281" t="s">
        <v>28</v>
      </c>
      <c r="C241" s="282"/>
      <c r="D241" s="282"/>
      <c r="E241" s="29" t="s">
        <v>25</v>
      </c>
      <c r="F241" s="28"/>
      <c r="G241" s="28"/>
      <c r="H241" s="41"/>
      <c r="I241" s="28"/>
      <c r="J241" s="41"/>
      <c r="K241" s="28"/>
      <c r="L241" s="10"/>
      <c r="M241" s="4"/>
      <c r="N241" s="4"/>
      <c r="O241" s="4"/>
      <c r="P241" s="4"/>
    </row>
    <row r="242" spans="1:18" ht="13.5" thickTop="1">
      <c r="A242" s="9"/>
      <c r="B242" s="22">
        <v>65</v>
      </c>
      <c r="C242" s="23" t="s">
        <v>364</v>
      </c>
      <c r="D242" s="23" t="s">
        <v>25</v>
      </c>
      <c r="E242" s="23" t="s">
        <v>365</v>
      </c>
      <c r="F242" s="24" t="s">
        <v>64</v>
      </c>
      <c r="G242" s="30">
        <f>ROUND(224.26,3)</f>
        <v>224.26</v>
      </c>
      <c r="H242" s="42">
        <f>ROUND(0,2)</f>
        <v>0</v>
      </c>
      <c r="I242" s="31">
        <f>ROUND(H242*G242,2)</f>
        <v>0</v>
      </c>
      <c r="J242" s="46" t="s">
        <v>25</v>
      </c>
      <c r="K242" s="31">
        <f>IF(ISNUMBER(J242),ROUND(I242*(J242+1),2),0)</f>
        <v>0</v>
      </c>
      <c r="L242" s="10"/>
      <c r="M242" s="4"/>
      <c r="N242" s="4"/>
      <c r="O242" s="4"/>
      <c r="P242" s="4"/>
      <c r="Q242" s="1">
        <f>IF(ISNUMBER(J242),IF(G242&gt;0,IF(H242&gt;0,I242,0),0),0)</f>
        <v>0</v>
      </c>
      <c r="R242" s="1">
        <f>IF(ISNUMBER(J242)=FALSE,I242,0)</f>
        <v>0</v>
      </c>
    </row>
    <row r="243" spans="1:18">
      <c r="A243" s="9"/>
      <c r="B243" s="283" t="s">
        <v>27</v>
      </c>
      <c r="C243" s="276"/>
      <c r="D243" s="276"/>
      <c r="E243" s="27" t="s">
        <v>25</v>
      </c>
      <c r="F243" s="3"/>
      <c r="G243" s="3"/>
      <c r="H243" s="39"/>
      <c r="I243" s="3"/>
      <c r="J243" s="39"/>
      <c r="K243" s="3"/>
      <c r="L243" s="10"/>
      <c r="M243" s="4"/>
      <c r="N243" s="4"/>
      <c r="O243" s="4"/>
      <c r="P243" s="4"/>
    </row>
    <row r="244" spans="1:18" ht="13.5" thickBot="1">
      <c r="A244" s="9"/>
      <c r="B244" s="281" t="s">
        <v>28</v>
      </c>
      <c r="C244" s="282"/>
      <c r="D244" s="282"/>
      <c r="E244" s="29" t="s">
        <v>25</v>
      </c>
      <c r="F244" s="28"/>
      <c r="G244" s="28"/>
      <c r="H244" s="41"/>
      <c r="I244" s="28"/>
      <c r="J244" s="41"/>
      <c r="K244" s="28"/>
      <c r="L244" s="10"/>
      <c r="M244" s="4"/>
      <c r="N244" s="4"/>
      <c r="O244" s="4"/>
      <c r="P244" s="4"/>
    </row>
    <row r="245" spans="1:18" ht="13.5" thickTop="1">
      <c r="A245" s="9"/>
      <c r="B245" s="22">
        <v>66</v>
      </c>
      <c r="C245" s="23" t="s">
        <v>164</v>
      </c>
      <c r="D245" s="23" t="s">
        <v>25</v>
      </c>
      <c r="E245" s="23" t="s">
        <v>165</v>
      </c>
      <c r="F245" s="24" t="s">
        <v>64</v>
      </c>
      <c r="G245" s="30">
        <f>ROUND(102.48,3)</f>
        <v>102.48</v>
      </c>
      <c r="H245" s="42">
        <f>ROUND(0,2)</f>
        <v>0</v>
      </c>
      <c r="I245" s="31">
        <f>ROUND(H245*G245,2)</f>
        <v>0</v>
      </c>
      <c r="J245" s="46" t="s">
        <v>25</v>
      </c>
      <c r="K245" s="31">
        <f>IF(ISNUMBER(J245),ROUND(I245*(J245+1),2),0)</f>
        <v>0</v>
      </c>
      <c r="L245" s="10"/>
      <c r="M245" s="4"/>
      <c r="N245" s="4"/>
      <c r="O245" s="4"/>
      <c r="P245" s="4"/>
      <c r="Q245" s="1">
        <f>IF(ISNUMBER(J245),IF(G245&gt;0,IF(H245&gt;0,I245,0),0),0)</f>
        <v>0</v>
      </c>
      <c r="R245" s="1">
        <f>IF(ISNUMBER(J245)=FALSE,I245,0)</f>
        <v>0</v>
      </c>
    </row>
    <row r="246" spans="1:18">
      <c r="A246" s="9"/>
      <c r="B246" s="283" t="s">
        <v>27</v>
      </c>
      <c r="C246" s="276"/>
      <c r="D246" s="276"/>
      <c r="E246" s="27" t="s">
        <v>25</v>
      </c>
      <c r="F246" s="3"/>
      <c r="G246" s="3"/>
      <c r="H246" s="39"/>
      <c r="I246" s="3"/>
      <c r="J246" s="39"/>
      <c r="K246" s="3"/>
      <c r="L246" s="10"/>
      <c r="M246" s="4"/>
      <c r="N246" s="4"/>
      <c r="O246" s="4"/>
      <c r="P246" s="4"/>
    </row>
    <row r="247" spans="1:18" ht="13.5" thickBot="1">
      <c r="A247" s="9"/>
      <c r="B247" s="281" t="s">
        <v>28</v>
      </c>
      <c r="C247" s="282"/>
      <c r="D247" s="282"/>
      <c r="E247" s="29" t="s">
        <v>25</v>
      </c>
      <c r="F247" s="28"/>
      <c r="G247" s="28"/>
      <c r="H247" s="41"/>
      <c r="I247" s="28"/>
      <c r="J247" s="41"/>
      <c r="K247" s="28"/>
      <c r="L247" s="10"/>
      <c r="M247" s="4"/>
      <c r="N247" s="4"/>
      <c r="O247" s="4"/>
      <c r="P247" s="4"/>
    </row>
    <row r="248" spans="1:18" ht="13.5" thickTop="1">
      <c r="A248" s="9"/>
      <c r="B248" s="22">
        <v>67</v>
      </c>
      <c r="C248" s="23" t="s">
        <v>366</v>
      </c>
      <c r="D248" s="23" t="s">
        <v>25</v>
      </c>
      <c r="E248" s="23" t="s">
        <v>367</v>
      </c>
      <c r="F248" s="24" t="s">
        <v>52</v>
      </c>
      <c r="G248" s="30">
        <f>ROUND(1,3)</f>
        <v>1</v>
      </c>
      <c r="H248" s="42">
        <f>ROUND(0,2)</f>
        <v>0</v>
      </c>
      <c r="I248" s="31">
        <f>ROUND(H248*G248,2)</f>
        <v>0</v>
      </c>
      <c r="J248" s="46" t="s">
        <v>25</v>
      </c>
      <c r="K248" s="31">
        <f>IF(ISNUMBER(J248),ROUND(I248*(J248+1),2),0)</f>
        <v>0</v>
      </c>
      <c r="L248" s="10"/>
      <c r="M248" s="4"/>
      <c r="N248" s="4"/>
      <c r="O248" s="4"/>
      <c r="P248" s="4"/>
      <c r="Q248" s="1">
        <f>IF(ISNUMBER(J248),IF(G248&gt;0,IF(H248&gt;0,I248,0),0),0)</f>
        <v>0</v>
      </c>
      <c r="R248" s="1">
        <f>IF(ISNUMBER(J248)=FALSE,I248,0)</f>
        <v>0</v>
      </c>
    </row>
    <row r="249" spans="1:18">
      <c r="A249" s="9"/>
      <c r="B249" s="283" t="s">
        <v>27</v>
      </c>
      <c r="C249" s="276"/>
      <c r="D249" s="276"/>
      <c r="E249" s="27" t="s">
        <v>25</v>
      </c>
      <c r="F249" s="3"/>
      <c r="G249" s="3"/>
      <c r="H249" s="39"/>
      <c r="I249" s="3"/>
      <c r="J249" s="39"/>
      <c r="K249" s="3"/>
      <c r="L249" s="10"/>
      <c r="M249" s="4"/>
      <c r="N249" s="4"/>
      <c r="O249" s="4"/>
      <c r="P249" s="4"/>
    </row>
    <row r="250" spans="1:18" ht="13.5" thickBot="1">
      <c r="A250" s="9"/>
      <c r="B250" s="281" t="s">
        <v>28</v>
      </c>
      <c r="C250" s="282"/>
      <c r="D250" s="282"/>
      <c r="E250" s="29" t="s">
        <v>25</v>
      </c>
      <c r="F250" s="28"/>
      <c r="G250" s="28"/>
      <c r="H250" s="41"/>
      <c r="I250" s="28"/>
      <c r="J250" s="41"/>
      <c r="K250" s="28"/>
      <c r="L250" s="10"/>
      <c r="M250" s="4"/>
      <c r="N250" s="4"/>
      <c r="O250" s="4"/>
      <c r="P250" s="4"/>
    </row>
    <row r="251" spans="1:18" ht="13.5" thickTop="1">
      <c r="A251" s="9"/>
      <c r="B251" s="22">
        <v>68</v>
      </c>
      <c r="C251" s="23" t="s">
        <v>368</v>
      </c>
      <c r="D251" s="23" t="s">
        <v>25</v>
      </c>
      <c r="E251" s="23" t="s">
        <v>369</v>
      </c>
      <c r="F251" s="24" t="s">
        <v>52</v>
      </c>
      <c r="G251" s="30">
        <f>ROUND(3,3)</f>
        <v>3</v>
      </c>
      <c r="H251" s="42">
        <f>ROUND(0,2)</f>
        <v>0</v>
      </c>
      <c r="I251" s="31">
        <f>ROUND(H251*G251,2)</f>
        <v>0</v>
      </c>
      <c r="J251" s="46" t="s">
        <v>25</v>
      </c>
      <c r="K251" s="31">
        <f>IF(ISNUMBER(J251),ROUND(I251*(J251+1),2),0)</f>
        <v>0</v>
      </c>
      <c r="L251" s="10"/>
      <c r="M251" s="4"/>
      <c r="N251" s="4"/>
      <c r="O251" s="4"/>
      <c r="P251" s="4"/>
      <c r="Q251" s="1">
        <f>IF(ISNUMBER(J251),IF(G251&gt;0,IF(H251&gt;0,I251,0),0),0)</f>
        <v>0</v>
      </c>
      <c r="R251" s="1">
        <f>IF(ISNUMBER(J251)=FALSE,I251,0)</f>
        <v>0</v>
      </c>
    </row>
    <row r="252" spans="1:18">
      <c r="A252" s="9"/>
      <c r="B252" s="283" t="s">
        <v>27</v>
      </c>
      <c r="C252" s="276"/>
      <c r="D252" s="276"/>
      <c r="E252" s="27" t="s">
        <v>25</v>
      </c>
      <c r="F252" s="3"/>
      <c r="G252" s="3"/>
      <c r="H252" s="39"/>
      <c r="I252" s="3"/>
      <c r="J252" s="39"/>
      <c r="K252" s="3"/>
      <c r="L252" s="10"/>
      <c r="M252" s="4"/>
      <c r="N252" s="4"/>
      <c r="O252" s="4"/>
      <c r="P252" s="4"/>
    </row>
    <row r="253" spans="1:18" ht="13.5" thickBot="1">
      <c r="A253" s="9"/>
      <c r="B253" s="281" t="s">
        <v>28</v>
      </c>
      <c r="C253" s="282"/>
      <c r="D253" s="282"/>
      <c r="E253" s="29" t="s">
        <v>25</v>
      </c>
      <c r="F253" s="28"/>
      <c r="G253" s="28"/>
      <c r="H253" s="41"/>
      <c r="I253" s="28"/>
      <c r="J253" s="41"/>
      <c r="K253" s="28"/>
      <c r="L253" s="10"/>
      <c r="M253" s="4"/>
      <c r="N253" s="4"/>
      <c r="O253" s="4"/>
      <c r="P253" s="4"/>
    </row>
    <row r="254" spans="1:18" ht="13.5" thickTop="1">
      <c r="A254" s="9"/>
      <c r="B254" s="22">
        <v>69</v>
      </c>
      <c r="C254" s="23" t="s">
        <v>370</v>
      </c>
      <c r="D254" s="23" t="s">
        <v>25</v>
      </c>
      <c r="E254" s="23" t="s">
        <v>371</v>
      </c>
      <c r="F254" s="24" t="s">
        <v>52</v>
      </c>
      <c r="G254" s="30">
        <f>ROUND(1,3)</f>
        <v>1</v>
      </c>
      <c r="H254" s="42">
        <f>ROUND(0,2)</f>
        <v>0</v>
      </c>
      <c r="I254" s="31">
        <f>ROUND(H254*G254,2)</f>
        <v>0</v>
      </c>
      <c r="J254" s="46" t="s">
        <v>25</v>
      </c>
      <c r="K254" s="31">
        <f>IF(ISNUMBER(J254),ROUND(I254*(J254+1),2),0)</f>
        <v>0</v>
      </c>
      <c r="L254" s="10"/>
      <c r="M254" s="4"/>
      <c r="N254" s="4"/>
      <c r="O254" s="4"/>
      <c r="P254" s="4"/>
      <c r="Q254" s="1">
        <f>IF(ISNUMBER(J254),IF(G254&gt;0,IF(H254&gt;0,I254,0),0),0)</f>
        <v>0</v>
      </c>
      <c r="R254" s="1">
        <f>IF(ISNUMBER(J254)=FALSE,I254,0)</f>
        <v>0</v>
      </c>
    </row>
    <row r="255" spans="1:18">
      <c r="A255" s="9"/>
      <c r="B255" s="283" t="s">
        <v>27</v>
      </c>
      <c r="C255" s="276"/>
      <c r="D255" s="276"/>
      <c r="E255" s="27" t="s">
        <v>25</v>
      </c>
      <c r="F255" s="3"/>
      <c r="G255" s="3"/>
      <c r="H255" s="39"/>
      <c r="I255" s="3"/>
      <c r="J255" s="39"/>
      <c r="K255" s="3"/>
      <c r="L255" s="10"/>
      <c r="M255" s="4"/>
      <c r="N255" s="4"/>
      <c r="O255" s="4"/>
      <c r="P255" s="4"/>
    </row>
    <row r="256" spans="1:18" ht="13.5" thickBot="1">
      <c r="A256" s="9"/>
      <c r="B256" s="281" t="s">
        <v>28</v>
      </c>
      <c r="C256" s="282"/>
      <c r="D256" s="282"/>
      <c r="E256" s="29" t="s">
        <v>25</v>
      </c>
      <c r="F256" s="28"/>
      <c r="G256" s="28"/>
      <c r="H256" s="41"/>
      <c r="I256" s="28"/>
      <c r="J256" s="41"/>
      <c r="K256" s="28"/>
      <c r="L256" s="10"/>
      <c r="M256" s="4"/>
      <c r="N256" s="4"/>
      <c r="O256" s="4"/>
      <c r="P256" s="4"/>
    </row>
    <row r="257" spans="1:18" ht="13.5" thickTop="1">
      <c r="A257" s="9"/>
      <c r="B257" s="22">
        <v>70</v>
      </c>
      <c r="C257" s="23" t="s">
        <v>372</v>
      </c>
      <c r="D257" s="23" t="s">
        <v>185</v>
      </c>
      <c r="E257" s="23" t="s">
        <v>373</v>
      </c>
      <c r="F257" s="24" t="s">
        <v>52</v>
      </c>
      <c r="G257" s="30">
        <f>ROUND(7,3)</f>
        <v>7</v>
      </c>
      <c r="H257" s="42">
        <f>ROUND(0,2)</f>
        <v>0</v>
      </c>
      <c r="I257" s="31">
        <f>ROUND(H257*G257,2)</f>
        <v>0</v>
      </c>
      <c r="J257" s="46" t="s">
        <v>25</v>
      </c>
      <c r="K257" s="31">
        <f>IF(ISNUMBER(J257),ROUND(I257*(J257+1),2),0)</f>
        <v>0</v>
      </c>
      <c r="L257" s="10"/>
      <c r="M257" s="4"/>
      <c r="N257" s="4"/>
      <c r="O257" s="4"/>
      <c r="P257" s="4"/>
      <c r="Q257" s="1">
        <f>IF(ISNUMBER(J257),IF(G257&gt;0,IF(H257&gt;0,I257,0),0),0)</f>
        <v>0</v>
      </c>
      <c r="R257" s="1">
        <f>IF(ISNUMBER(J257)=FALSE,I257,0)</f>
        <v>0</v>
      </c>
    </row>
    <row r="258" spans="1:18">
      <c r="A258" s="9"/>
      <c r="B258" s="283" t="s">
        <v>27</v>
      </c>
      <c r="C258" s="276"/>
      <c r="D258" s="276"/>
      <c r="E258" s="27" t="s">
        <v>374</v>
      </c>
      <c r="F258" s="3"/>
      <c r="G258" s="3"/>
      <c r="H258" s="39"/>
      <c r="I258" s="3"/>
      <c r="J258" s="39"/>
      <c r="K258" s="3"/>
      <c r="L258" s="10"/>
      <c r="M258" s="4"/>
      <c r="N258" s="4"/>
      <c r="O258" s="4"/>
      <c r="P258" s="4"/>
    </row>
    <row r="259" spans="1:18" ht="13.5" thickBot="1">
      <c r="A259" s="9"/>
      <c r="B259" s="281" t="s">
        <v>28</v>
      </c>
      <c r="C259" s="282"/>
      <c r="D259" s="282"/>
      <c r="E259" s="29" t="s">
        <v>25</v>
      </c>
      <c r="F259" s="28"/>
      <c r="G259" s="28"/>
      <c r="H259" s="41"/>
      <c r="I259" s="28"/>
      <c r="J259" s="41"/>
      <c r="K259" s="28"/>
      <c r="L259" s="10"/>
      <c r="M259" s="4"/>
      <c r="N259" s="4"/>
      <c r="O259" s="4"/>
      <c r="P259" s="4"/>
    </row>
    <row r="260" spans="1:18" ht="13.5" thickTop="1">
      <c r="A260" s="9"/>
      <c r="B260" s="22">
        <v>71</v>
      </c>
      <c r="C260" s="23" t="s">
        <v>206</v>
      </c>
      <c r="D260" s="23" t="s">
        <v>375</v>
      </c>
      <c r="E260" s="23" t="s">
        <v>207</v>
      </c>
      <c r="F260" s="24" t="s">
        <v>49</v>
      </c>
      <c r="G260" s="30">
        <f>ROUND(1245.35,3)</f>
        <v>1245.3499999999999</v>
      </c>
      <c r="H260" s="42">
        <f>ROUND(0,2)</f>
        <v>0</v>
      </c>
      <c r="I260" s="31">
        <f>ROUND(H260*G260,2)</f>
        <v>0</v>
      </c>
      <c r="J260" s="46" t="s">
        <v>25</v>
      </c>
      <c r="K260" s="31">
        <f>IF(ISNUMBER(J260),ROUND(I260*(J260+1),2),0)</f>
        <v>0</v>
      </c>
      <c r="L260" s="10"/>
      <c r="M260" s="4"/>
      <c r="N260" s="4"/>
      <c r="O260" s="4"/>
      <c r="P260" s="4"/>
      <c r="Q260" s="1">
        <f>IF(ISNUMBER(J260),IF(G260&gt;0,IF(H260&gt;0,I260,0),0),0)</f>
        <v>0</v>
      </c>
      <c r="R260" s="1">
        <f>IF(ISNUMBER(J260)=FALSE,I260,0)</f>
        <v>0</v>
      </c>
    </row>
    <row r="261" spans="1:18">
      <c r="A261" s="9"/>
      <c r="B261" s="283" t="s">
        <v>27</v>
      </c>
      <c r="C261" s="276"/>
      <c r="D261" s="276"/>
      <c r="E261" s="27" t="s">
        <v>376</v>
      </c>
      <c r="F261" s="3"/>
      <c r="G261" s="3"/>
      <c r="H261" s="39"/>
      <c r="I261" s="3"/>
      <c r="J261" s="39"/>
      <c r="K261" s="3"/>
      <c r="L261" s="10"/>
      <c r="M261" s="4"/>
      <c r="N261" s="4"/>
      <c r="O261" s="4"/>
      <c r="P261" s="4"/>
    </row>
    <row r="262" spans="1:18" ht="13.5" thickBot="1">
      <c r="A262" s="9"/>
      <c r="B262" s="281" t="s">
        <v>28</v>
      </c>
      <c r="C262" s="282"/>
      <c r="D262" s="282"/>
      <c r="E262" s="29" t="s">
        <v>25</v>
      </c>
      <c r="F262" s="28"/>
      <c r="G262" s="28"/>
      <c r="H262" s="41"/>
      <c r="I262" s="28"/>
      <c r="J262" s="41"/>
      <c r="K262" s="28"/>
      <c r="L262" s="10"/>
      <c r="M262" s="4"/>
      <c r="N262" s="4"/>
      <c r="O262" s="4"/>
      <c r="P262" s="4"/>
    </row>
    <row r="263" spans="1:18" ht="13.5" thickTop="1">
      <c r="A263" s="9"/>
      <c r="B263" s="22">
        <v>72</v>
      </c>
      <c r="C263" s="23" t="s">
        <v>377</v>
      </c>
      <c r="D263" s="23" t="s">
        <v>185</v>
      </c>
      <c r="E263" s="23" t="s">
        <v>378</v>
      </c>
      <c r="F263" s="24" t="s">
        <v>52</v>
      </c>
      <c r="G263" s="30">
        <f>ROUND(2,3)</f>
        <v>2</v>
      </c>
      <c r="H263" s="42">
        <f>ROUND(0,2)</f>
        <v>0</v>
      </c>
      <c r="I263" s="31">
        <f>ROUND(H263*G263,2)</f>
        <v>0</v>
      </c>
      <c r="J263" s="46" t="s">
        <v>25</v>
      </c>
      <c r="K263" s="31">
        <f>IF(ISNUMBER(J263),ROUND(I263*(J263+1),2),0)</f>
        <v>0</v>
      </c>
      <c r="L263" s="10"/>
      <c r="M263" s="4"/>
      <c r="N263" s="4"/>
      <c r="O263" s="4"/>
      <c r="P263" s="4"/>
      <c r="Q263" s="1">
        <f>IF(ISNUMBER(J263),IF(G263&gt;0,IF(H263&gt;0,I263,0),0),0)</f>
        <v>0</v>
      </c>
      <c r="R263" s="1">
        <f>IF(ISNUMBER(J263)=FALSE,I263,0)</f>
        <v>0</v>
      </c>
    </row>
    <row r="264" spans="1:18">
      <c r="A264" s="9"/>
      <c r="B264" s="283" t="s">
        <v>27</v>
      </c>
      <c r="C264" s="276"/>
      <c r="D264" s="276"/>
      <c r="E264" s="27" t="s">
        <v>379</v>
      </c>
      <c r="F264" s="3"/>
      <c r="G264" s="3"/>
      <c r="H264" s="39"/>
      <c r="I264" s="3"/>
      <c r="J264" s="39"/>
      <c r="K264" s="3"/>
      <c r="L264" s="10"/>
      <c r="M264" s="4"/>
      <c r="N264" s="4"/>
      <c r="O264" s="4"/>
      <c r="P264" s="4"/>
    </row>
    <row r="265" spans="1:18" ht="13.5" thickBot="1">
      <c r="A265" s="9"/>
      <c r="B265" s="281" t="s">
        <v>28</v>
      </c>
      <c r="C265" s="282"/>
      <c r="D265" s="282"/>
      <c r="E265" s="29" t="s">
        <v>25</v>
      </c>
      <c r="F265" s="28"/>
      <c r="G265" s="28"/>
      <c r="H265" s="41"/>
      <c r="I265" s="28"/>
      <c r="J265" s="41"/>
      <c r="K265" s="28"/>
      <c r="L265" s="10"/>
      <c r="M265" s="4"/>
      <c r="N265" s="4"/>
      <c r="O265" s="4"/>
      <c r="P265" s="4"/>
    </row>
    <row r="266" spans="1:18" ht="13.5" thickTop="1">
      <c r="A266" s="9"/>
      <c r="B266" s="22">
        <v>73</v>
      </c>
      <c r="C266" s="23" t="s">
        <v>380</v>
      </c>
      <c r="D266" s="23" t="s">
        <v>185</v>
      </c>
      <c r="E266" s="23" t="s">
        <v>381</v>
      </c>
      <c r="F266" s="24" t="s">
        <v>382</v>
      </c>
      <c r="G266" s="30">
        <f>ROUND(1744.64,3)</f>
        <v>1744.64</v>
      </c>
      <c r="H266" s="42">
        <f>ROUND(0,2)</f>
        <v>0</v>
      </c>
      <c r="I266" s="31">
        <f>ROUND(H266*G266,2)</f>
        <v>0</v>
      </c>
      <c r="J266" s="46" t="s">
        <v>25</v>
      </c>
      <c r="K266" s="31">
        <f>IF(ISNUMBER(J266),ROUND(I266*(J266+1),2),0)</f>
        <v>0</v>
      </c>
      <c r="L266" s="10"/>
      <c r="M266" s="4"/>
      <c r="N266" s="4"/>
      <c r="O266" s="4"/>
      <c r="P266" s="4"/>
      <c r="Q266" s="1">
        <f>IF(ISNUMBER(J266),IF(G266&gt;0,IF(H266&gt;0,I266,0),0),0)</f>
        <v>0</v>
      </c>
      <c r="R266" s="1">
        <f>IF(ISNUMBER(J266)=FALSE,I266,0)</f>
        <v>0</v>
      </c>
    </row>
    <row r="267" spans="1:18">
      <c r="A267" s="9"/>
      <c r="B267" s="283" t="s">
        <v>27</v>
      </c>
      <c r="C267" s="276"/>
      <c r="D267" s="276"/>
      <c r="E267" s="27" t="s">
        <v>383</v>
      </c>
      <c r="F267" s="3"/>
      <c r="G267" s="3"/>
      <c r="H267" s="39"/>
      <c r="I267" s="3"/>
      <c r="J267" s="39"/>
      <c r="K267" s="3"/>
      <c r="L267" s="10"/>
      <c r="M267" s="4"/>
      <c r="N267" s="4"/>
      <c r="O267" s="4"/>
      <c r="P267" s="4"/>
    </row>
    <row r="268" spans="1:18" ht="13.5" thickBot="1">
      <c r="A268" s="9"/>
      <c r="B268" s="281" t="s">
        <v>28</v>
      </c>
      <c r="C268" s="282"/>
      <c r="D268" s="282"/>
      <c r="E268" s="29" t="s">
        <v>25</v>
      </c>
      <c r="F268" s="28"/>
      <c r="G268" s="28"/>
      <c r="H268" s="41"/>
      <c r="I268" s="28"/>
      <c r="J268" s="41"/>
      <c r="K268" s="28"/>
      <c r="L268" s="10"/>
      <c r="M268" s="4"/>
      <c r="N268" s="4"/>
      <c r="O268" s="4"/>
      <c r="P268" s="4"/>
    </row>
    <row r="269" spans="1:18" ht="13.5" thickTop="1">
      <c r="A269" s="9"/>
      <c r="B269" s="22">
        <v>74</v>
      </c>
      <c r="C269" s="23" t="s">
        <v>384</v>
      </c>
      <c r="D269" s="23" t="s">
        <v>375</v>
      </c>
      <c r="E269" s="23" t="s">
        <v>385</v>
      </c>
      <c r="F269" s="24" t="s">
        <v>52</v>
      </c>
      <c r="G269" s="30">
        <f>ROUND(132,3)</f>
        <v>132</v>
      </c>
      <c r="H269" s="42">
        <f>ROUND(0,2)</f>
        <v>0</v>
      </c>
      <c r="I269" s="31">
        <f>ROUND(H269*G269,2)</f>
        <v>0</v>
      </c>
      <c r="J269" s="46" t="s">
        <v>25</v>
      </c>
      <c r="K269" s="31">
        <f>IF(ISNUMBER(J269),ROUND(I269*(J269+1),2),0)</f>
        <v>0</v>
      </c>
      <c r="L269" s="10"/>
      <c r="M269" s="4"/>
      <c r="N269" s="4"/>
      <c r="O269" s="4"/>
      <c r="P269" s="4"/>
      <c r="Q269" s="1">
        <f>IF(ISNUMBER(J269),IF(G269&gt;0,IF(H269&gt;0,I269,0),0),0)</f>
        <v>0</v>
      </c>
      <c r="R269" s="1">
        <f>IF(ISNUMBER(J269)=FALSE,I269,0)</f>
        <v>0</v>
      </c>
    </row>
    <row r="270" spans="1:18">
      <c r="A270" s="9"/>
      <c r="B270" s="283" t="s">
        <v>27</v>
      </c>
      <c r="C270" s="276"/>
      <c r="D270" s="276"/>
      <c r="E270" s="27" t="s">
        <v>386</v>
      </c>
      <c r="F270" s="3"/>
      <c r="G270" s="3"/>
      <c r="H270" s="39"/>
      <c r="I270" s="3"/>
      <c r="J270" s="39"/>
      <c r="K270" s="3"/>
      <c r="L270" s="10"/>
      <c r="M270" s="4"/>
      <c r="N270" s="4"/>
      <c r="O270" s="4"/>
      <c r="P270" s="4"/>
    </row>
    <row r="271" spans="1:18" ht="13.5" thickBot="1">
      <c r="A271" s="9"/>
      <c r="B271" s="281" t="s">
        <v>28</v>
      </c>
      <c r="C271" s="282"/>
      <c r="D271" s="282"/>
      <c r="E271" s="29" t="s">
        <v>25</v>
      </c>
      <c r="F271" s="28"/>
      <c r="G271" s="28"/>
      <c r="H271" s="41"/>
      <c r="I271" s="28"/>
      <c r="J271" s="41"/>
      <c r="K271" s="28"/>
      <c r="L271" s="10"/>
      <c r="M271" s="4"/>
      <c r="N271" s="4"/>
      <c r="O271" s="4"/>
      <c r="P271" s="4"/>
    </row>
    <row r="272" spans="1:18" ht="13.5" thickTop="1">
      <c r="A272" s="9"/>
      <c r="B272" s="22">
        <v>75</v>
      </c>
      <c r="C272" s="23" t="s">
        <v>384</v>
      </c>
      <c r="D272" s="23" t="s">
        <v>387</v>
      </c>
      <c r="E272" s="23" t="s">
        <v>385</v>
      </c>
      <c r="F272" s="24" t="s">
        <v>52</v>
      </c>
      <c r="G272" s="30">
        <f>ROUND(1,3)</f>
        <v>1</v>
      </c>
      <c r="H272" s="42">
        <f>ROUND(0,2)</f>
        <v>0</v>
      </c>
      <c r="I272" s="31">
        <f>ROUND(H272*G272,2)</f>
        <v>0</v>
      </c>
      <c r="J272" s="46" t="s">
        <v>25</v>
      </c>
      <c r="K272" s="31">
        <f>IF(ISNUMBER(J272),ROUND(I272*(J272+1),2),0)</f>
        <v>0</v>
      </c>
      <c r="L272" s="10"/>
      <c r="M272" s="4"/>
      <c r="N272" s="4"/>
      <c r="O272" s="4"/>
      <c r="P272" s="4"/>
      <c r="Q272" s="1">
        <f>IF(ISNUMBER(J272),IF(G272&gt;0,IF(H272&gt;0,I272,0),0),0)</f>
        <v>0</v>
      </c>
      <c r="R272" s="1">
        <f>IF(ISNUMBER(J272)=FALSE,I272,0)</f>
        <v>0</v>
      </c>
    </row>
    <row r="273" spans="1:19">
      <c r="A273" s="9"/>
      <c r="B273" s="283" t="s">
        <v>27</v>
      </c>
      <c r="C273" s="276"/>
      <c r="D273" s="276"/>
      <c r="E273" s="27" t="s">
        <v>388</v>
      </c>
      <c r="F273" s="3"/>
      <c r="G273" s="3"/>
      <c r="H273" s="39"/>
      <c r="I273" s="3"/>
      <c r="J273" s="39"/>
      <c r="K273" s="3"/>
      <c r="L273" s="10"/>
      <c r="M273" s="4"/>
      <c r="N273" s="4"/>
      <c r="O273" s="4"/>
      <c r="P273" s="4"/>
    </row>
    <row r="274" spans="1:19" ht="13.5" thickBot="1">
      <c r="A274" s="9"/>
      <c r="B274" s="281" t="s">
        <v>28</v>
      </c>
      <c r="C274" s="282"/>
      <c r="D274" s="282"/>
      <c r="E274" s="29" t="s">
        <v>25</v>
      </c>
      <c r="F274" s="28"/>
      <c r="G274" s="28"/>
      <c r="H274" s="41"/>
      <c r="I274" s="28"/>
      <c r="J274" s="41"/>
      <c r="K274" s="28"/>
      <c r="L274" s="10"/>
      <c r="M274" s="4"/>
      <c r="N274" s="4"/>
      <c r="O274" s="4"/>
      <c r="P274" s="4"/>
    </row>
    <row r="275" spans="1:19" ht="13.5" thickTop="1">
      <c r="A275" s="9"/>
      <c r="B275" s="22">
        <v>76</v>
      </c>
      <c r="C275" s="23" t="s">
        <v>389</v>
      </c>
      <c r="D275" s="23" t="s">
        <v>25</v>
      </c>
      <c r="E275" s="23" t="s">
        <v>390</v>
      </c>
      <c r="F275" s="24" t="s">
        <v>57</v>
      </c>
      <c r="G275" s="30">
        <f>ROUND(584.23,3)</f>
        <v>584.23</v>
      </c>
      <c r="H275" s="42">
        <f>ROUND(0,2)</f>
        <v>0</v>
      </c>
      <c r="I275" s="31">
        <f>ROUND(H275*G275,2)</f>
        <v>0</v>
      </c>
      <c r="J275" s="46" t="s">
        <v>25</v>
      </c>
      <c r="K275" s="31">
        <f>IF(ISNUMBER(J275),ROUND(I275*(J275+1),2),0)</f>
        <v>0</v>
      </c>
      <c r="L275" s="10"/>
      <c r="M275" s="4"/>
      <c r="N275" s="4"/>
      <c r="O275" s="4"/>
      <c r="P275" s="4"/>
      <c r="Q275" s="1">
        <f>IF(ISNUMBER(J275),IF(G275&gt;0,IF(H275&gt;0,I275,0),0),0)</f>
        <v>0</v>
      </c>
      <c r="R275" s="1">
        <f>IF(ISNUMBER(J275)=FALSE,I275,0)</f>
        <v>0</v>
      </c>
    </row>
    <row r="276" spans="1:19">
      <c r="A276" s="9"/>
      <c r="B276" s="283" t="s">
        <v>27</v>
      </c>
      <c r="C276" s="276"/>
      <c r="D276" s="276"/>
      <c r="E276" s="27" t="s">
        <v>25</v>
      </c>
      <c r="F276" s="3"/>
      <c r="G276" s="3"/>
      <c r="H276" s="39"/>
      <c r="I276" s="3"/>
      <c r="J276" s="39"/>
      <c r="K276" s="3"/>
      <c r="L276" s="10"/>
      <c r="M276" s="4"/>
      <c r="N276" s="4"/>
      <c r="O276" s="4"/>
      <c r="P276" s="4"/>
    </row>
    <row r="277" spans="1:19" ht="13.5" thickBot="1">
      <c r="A277" s="9"/>
      <c r="B277" s="281" t="s">
        <v>28</v>
      </c>
      <c r="C277" s="282"/>
      <c r="D277" s="282"/>
      <c r="E277" s="29" t="s">
        <v>25</v>
      </c>
      <c r="F277" s="28"/>
      <c r="G277" s="28"/>
      <c r="H277" s="41"/>
      <c r="I277" s="28"/>
      <c r="J277" s="41"/>
      <c r="K277" s="28"/>
      <c r="L277" s="10"/>
      <c r="M277" s="4"/>
      <c r="N277" s="4"/>
      <c r="O277" s="4"/>
      <c r="P277" s="4"/>
    </row>
    <row r="278" spans="1:19" ht="13.5" thickTop="1">
      <c r="A278" s="9"/>
      <c r="B278" s="22">
        <v>77</v>
      </c>
      <c r="C278" s="23" t="s">
        <v>391</v>
      </c>
      <c r="D278" s="23" t="s">
        <v>25</v>
      </c>
      <c r="E278" s="23" t="s">
        <v>392</v>
      </c>
      <c r="F278" s="24" t="s">
        <v>24</v>
      </c>
      <c r="G278" s="30">
        <f>ROUND(4.15,3)</f>
        <v>4.1500000000000004</v>
      </c>
      <c r="H278" s="42">
        <f>ROUND(0,2)</f>
        <v>0</v>
      </c>
      <c r="I278" s="31">
        <f>ROUND(H278*G278,2)</f>
        <v>0</v>
      </c>
      <c r="J278" s="46" t="s">
        <v>25</v>
      </c>
      <c r="K278" s="31">
        <f>IF(ISNUMBER(J278),ROUND(I278*(J278+1),2),0)</f>
        <v>0</v>
      </c>
      <c r="L278" s="10"/>
      <c r="M278" s="4"/>
      <c r="N278" s="4"/>
      <c r="O278" s="4"/>
      <c r="P278" s="4"/>
      <c r="Q278" s="1">
        <f>IF(ISNUMBER(J278),IF(G278&gt;0,IF(H278&gt;0,I278,0),0),0)</f>
        <v>0</v>
      </c>
      <c r="R278" s="1">
        <f>IF(ISNUMBER(J278)=FALSE,I278,0)</f>
        <v>0</v>
      </c>
    </row>
    <row r="279" spans="1:19">
      <c r="A279" s="9"/>
      <c r="B279" s="283" t="s">
        <v>27</v>
      </c>
      <c r="C279" s="276"/>
      <c r="D279" s="276"/>
      <c r="E279" s="27" t="s">
        <v>25</v>
      </c>
      <c r="F279" s="3"/>
      <c r="G279" s="3"/>
      <c r="H279" s="39"/>
      <c r="I279" s="3"/>
      <c r="J279" s="39"/>
      <c r="K279" s="3"/>
      <c r="L279" s="10"/>
      <c r="M279" s="4"/>
      <c r="N279" s="4"/>
      <c r="O279" s="4"/>
      <c r="P279" s="4"/>
    </row>
    <row r="280" spans="1:19" ht="13.5" thickBot="1">
      <c r="A280" s="9"/>
      <c r="B280" s="281" t="s">
        <v>28</v>
      </c>
      <c r="C280" s="282"/>
      <c r="D280" s="282"/>
      <c r="E280" s="29" t="s">
        <v>25</v>
      </c>
      <c r="F280" s="28"/>
      <c r="G280" s="28"/>
      <c r="H280" s="41"/>
      <c r="I280" s="28"/>
      <c r="J280" s="41"/>
      <c r="K280" s="28"/>
      <c r="L280" s="10"/>
      <c r="M280" s="4"/>
      <c r="N280" s="4"/>
      <c r="O280" s="4"/>
      <c r="P280" s="4"/>
    </row>
    <row r="281" spans="1:19" ht="24.95" customHeight="1" thickTop="1" thickBot="1">
      <c r="A281" s="9"/>
      <c r="B281" s="32"/>
      <c r="C281" s="33">
        <v>9</v>
      </c>
      <c r="D281" s="32"/>
      <c r="E281" s="34" t="s">
        <v>87</v>
      </c>
      <c r="F281" s="35" t="s">
        <v>44</v>
      </c>
      <c r="G281" s="36">
        <f>I239+I242+I245+I248+I251+I254+I257+I260+I263+I266+I269+I272+I275+I278</f>
        <v>0</v>
      </c>
      <c r="H281" s="43" t="s">
        <v>45</v>
      </c>
      <c r="I281" s="37">
        <f>IF(COUNT(J239:J281)&gt;0,AVERAGE(J239:J281),0.21)</f>
        <v>0.21</v>
      </c>
      <c r="J281" s="43" t="s">
        <v>46</v>
      </c>
      <c r="K281" s="36">
        <f>ROUND(Q281*(1+I281),2)+R281</f>
        <v>0</v>
      </c>
      <c r="L281" s="10"/>
      <c r="M281" s="4"/>
      <c r="N281" s="4"/>
      <c r="O281" s="4"/>
      <c r="P281" s="4"/>
      <c r="Q281" s="1">
        <f>0+Q239+Q242+Q245+Q248+Q251+Q254+Q257+Q260+Q263+Q266+Q269+Q272+Q275+Q278</f>
        <v>0</v>
      </c>
      <c r="R281" s="1">
        <f>0+R239+R242+R245+R248+R251+R254+R257+R260+R263+R266+R269+R272+R275+R278</f>
        <v>0</v>
      </c>
      <c r="S281" s="2">
        <f>Q281*(1+I281)+R281</f>
        <v>0</v>
      </c>
    </row>
    <row r="282" spans="1:19">
      <c r="A282" s="11"/>
      <c r="B282" s="5"/>
      <c r="C282" s="5"/>
      <c r="D282" s="5"/>
      <c r="E282" s="38"/>
      <c r="F282" s="5"/>
      <c r="G282" s="5"/>
      <c r="H282" s="44"/>
      <c r="I282" s="5"/>
      <c r="J282" s="44"/>
      <c r="K282" s="5"/>
      <c r="L282" s="12"/>
      <c r="M282" s="4"/>
      <c r="N282" s="4"/>
      <c r="O282" s="4"/>
      <c r="P282" s="4"/>
    </row>
  </sheetData>
  <autoFilter ref="A1:S1" xr:uid="{00000000-0009-0000-0000-000009000000}">
    <filterColumn colId="3" showButton="0"/>
  </autoFilter>
  <mergeCells count="186">
    <mergeCell ref="B36:D36"/>
    <mergeCell ref="B38:D38"/>
    <mergeCell ref="B39:D39"/>
    <mergeCell ref="B20:D20"/>
    <mergeCell ref="A1:A2"/>
    <mergeCell ref="A3:F3"/>
    <mergeCell ref="B4:C5"/>
    <mergeCell ref="B6:I6"/>
    <mergeCell ref="D1:E2"/>
    <mergeCell ref="B8:C9"/>
    <mergeCell ref="A10:D10"/>
    <mergeCell ref="A11:G11"/>
    <mergeCell ref="A12:G12"/>
    <mergeCell ref="B21:D21"/>
    <mergeCell ref="B33:K33"/>
    <mergeCell ref="B23:D23"/>
    <mergeCell ref="A13:G13"/>
    <mergeCell ref="B17:C18"/>
    <mergeCell ref="B19:D19"/>
    <mergeCell ref="E19:F19"/>
    <mergeCell ref="B30:C31"/>
    <mergeCell ref="B35:D35"/>
    <mergeCell ref="B26:D26"/>
    <mergeCell ref="B62:D62"/>
    <mergeCell ref="B63:D63"/>
    <mergeCell ref="B41:D41"/>
    <mergeCell ref="B42:D42"/>
    <mergeCell ref="B44:D44"/>
    <mergeCell ref="B45:D45"/>
    <mergeCell ref="B47:D47"/>
    <mergeCell ref="B48:D48"/>
    <mergeCell ref="B50:D50"/>
    <mergeCell ref="B51:D51"/>
    <mergeCell ref="B53:D53"/>
    <mergeCell ref="B54:D54"/>
    <mergeCell ref="B56:D56"/>
    <mergeCell ref="B57:D57"/>
    <mergeCell ref="B59:D59"/>
    <mergeCell ref="B60:D60"/>
    <mergeCell ref="B105:D105"/>
    <mergeCell ref="B80:D80"/>
    <mergeCell ref="B82:D82"/>
    <mergeCell ref="B83:D83"/>
    <mergeCell ref="B85:D85"/>
    <mergeCell ref="B86:D86"/>
    <mergeCell ref="B88:D88"/>
    <mergeCell ref="B89:D89"/>
    <mergeCell ref="B65:K65"/>
    <mergeCell ref="B79:D79"/>
    <mergeCell ref="B67:D67"/>
    <mergeCell ref="B68:D68"/>
    <mergeCell ref="B70:D70"/>
    <mergeCell ref="B71:D71"/>
    <mergeCell ref="B73:D73"/>
    <mergeCell ref="B74:D74"/>
    <mergeCell ref="B76:D76"/>
    <mergeCell ref="B77:D77"/>
    <mergeCell ref="B123:D123"/>
    <mergeCell ref="B124:D124"/>
    <mergeCell ref="B91:K91"/>
    <mergeCell ref="B22:D22"/>
    <mergeCell ref="B128:D128"/>
    <mergeCell ref="B129:D129"/>
    <mergeCell ref="B131:D131"/>
    <mergeCell ref="B106:D106"/>
    <mergeCell ref="B108:D108"/>
    <mergeCell ref="B109:D109"/>
    <mergeCell ref="B111:D111"/>
    <mergeCell ref="B112:D112"/>
    <mergeCell ref="B114:D114"/>
    <mergeCell ref="B115:D115"/>
    <mergeCell ref="B117:D117"/>
    <mergeCell ref="B118:D118"/>
    <mergeCell ref="B93:D93"/>
    <mergeCell ref="B94:D94"/>
    <mergeCell ref="B96:D96"/>
    <mergeCell ref="B97:D97"/>
    <mergeCell ref="B99:D99"/>
    <mergeCell ref="B100:D100"/>
    <mergeCell ref="B102:D102"/>
    <mergeCell ref="B103:D103"/>
    <mergeCell ref="B163:D163"/>
    <mergeCell ref="B164:D164"/>
    <mergeCell ref="B166:D166"/>
    <mergeCell ref="B167:D167"/>
    <mergeCell ref="B169:D169"/>
    <mergeCell ref="B170:D170"/>
    <mergeCell ref="B24:D24"/>
    <mergeCell ref="B146:D146"/>
    <mergeCell ref="B147:D147"/>
    <mergeCell ref="B149:D149"/>
    <mergeCell ref="B150:D150"/>
    <mergeCell ref="B152:D152"/>
    <mergeCell ref="B153:D153"/>
    <mergeCell ref="B155:D155"/>
    <mergeCell ref="B156:D156"/>
    <mergeCell ref="B158:D158"/>
    <mergeCell ref="B132:D132"/>
    <mergeCell ref="B134:D134"/>
    <mergeCell ref="B135:D135"/>
    <mergeCell ref="B137:D137"/>
    <mergeCell ref="B138:D138"/>
    <mergeCell ref="B140:D140"/>
    <mergeCell ref="B141:D141"/>
    <mergeCell ref="B25:D25"/>
    <mergeCell ref="B224:D224"/>
    <mergeCell ref="B199:D199"/>
    <mergeCell ref="B200:D200"/>
    <mergeCell ref="B202:D202"/>
    <mergeCell ref="B203:D203"/>
    <mergeCell ref="B205:D205"/>
    <mergeCell ref="B206:D206"/>
    <mergeCell ref="B208:D208"/>
    <mergeCell ref="B209:D209"/>
    <mergeCell ref="B236:D236"/>
    <mergeCell ref="B233:K233"/>
    <mergeCell ref="B27:D27"/>
    <mergeCell ref="B213:D213"/>
    <mergeCell ref="B214:D214"/>
    <mergeCell ref="B216:D216"/>
    <mergeCell ref="B217:D217"/>
    <mergeCell ref="B211:K211"/>
    <mergeCell ref="B175:D175"/>
    <mergeCell ref="B176:D176"/>
    <mergeCell ref="B178:D178"/>
    <mergeCell ref="B179:D179"/>
    <mergeCell ref="B181:D181"/>
    <mergeCell ref="B182:D182"/>
    <mergeCell ref="B184:D184"/>
    <mergeCell ref="B159:D159"/>
    <mergeCell ref="B126:K126"/>
    <mergeCell ref="B143:D143"/>
    <mergeCell ref="B161:K161"/>
    <mergeCell ref="B185:D185"/>
    <mergeCell ref="B187:D187"/>
    <mergeCell ref="B188:D188"/>
    <mergeCell ref="B144:D144"/>
    <mergeCell ref="B222:D222"/>
    <mergeCell ref="B120:D120"/>
    <mergeCell ref="B121:D121"/>
    <mergeCell ref="B244:D244"/>
    <mergeCell ref="B246:D246"/>
    <mergeCell ref="B247:D247"/>
    <mergeCell ref="B249:D249"/>
    <mergeCell ref="B250:D250"/>
    <mergeCell ref="B252:D252"/>
    <mergeCell ref="B225:D225"/>
    <mergeCell ref="B227:D227"/>
    <mergeCell ref="B228:D228"/>
    <mergeCell ref="B230:D230"/>
    <mergeCell ref="B231:D231"/>
    <mergeCell ref="B197:D197"/>
    <mergeCell ref="B172:D172"/>
    <mergeCell ref="B173:D173"/>
    <mergeCell ref="B219:K219"/>
    <mergeCell ref="B190:D190"/>
    <mergeCell ref="B191:D191"/>
    <mergeCell ref="B193:D193"/>
    <mergeCell ref="B194:D194"/>
    <mergeCell ref="B196:D196"/>
    <mergeCell ref="B221:D221"/>
    <mergeCell ref="B235:D235"/>
    <mergeCell ref="B280:D280"/>
    <mergeCell ref="B238:K238"/>
    <mergeCell ref="B28:D28"/>
    <mergeCell ref="B267:D267"/>
    <mergeCell ref="B268:D268"/>
    <mergeCell ref="B270:D270"/>
    <mergeCell ref="B271:D271"/>
    <mergeCell ref="B273:D273"/>
    <mergeCell ref="B274:D274"/>
    <mergeCell ref="B276:D276"/>
    <mergeCell ref="B277:D277"/>
    <mergeCell ref="B279:D279"/>
    <mergeCell ref="B253:D253"/>
    <mergeCell ref="B255:D255"/>
    <mergeCell ref="B256:D256"/>
    <mergeCell ref="B258:D258"/>
    <mergeCell ref="B259:D259"/>
    <mergeCell ref="B261:D261"/>
    <mergeCell ref="B262:D262"/>
    <mergeCell ref="B264:D264"/>
    <mergeCell ref="B265:D265"/>
    <mergeCell ref="B240:D240"/>
    <mergeCell ref="B241:D241"/>
    <mergeCell ref="B243:D243"/>
  </mergeCells>
  <pageMargins left="0.39370078740157499" right="0.39370078740157499" top="0.59055118110236204" bottom="0.39370078740157499" header="0.196850393700787" footer="0.15748031496063"/>
  <pageSetup paperSize="9" fitToHeight="0" orientation="portrait"/>
  <headerFooter>
    <oddFooter>&amp;CLÁVKA PŘES LABE V NYMBURKU | Lávka přes Labe v Nymburku&amp;R&amp;P/&amp;N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9 - SO341NN_cm">
    <tabColor theme="5" tint="0.39997558519241921"/>
    <pageSetUpPr fitToPage="1"/>
  </sheetPr>
  <dimension ref="A1:S33"/>
  <sheetViews>
    <sheetView workbookViewId="0">
      <selection sqref="A1:A2"/>
    </sheetView>
  </sheetViews>
  <sheetFormatPr defaultRowHeight="12.75"/>
  <cols>
    <col min="1" max="1" width="4.7109375"/>
    <col min="2" max="2" width="5.7109375"/>
    <col min="3" max="3" width="11.7109375"/>
    <col min="4" max="4" width="5.7109375"/>
    <col min="5" max="5" width="80.7109375"/>
    <col min="6" max="6" width="20.7109375"/>
    <col min="7" max="11" width="22.7109375"/>
    <col min="12" max="12" width="4.7109375"/>
    <col min="17" max="19" width="0" hidden="1"/>
  </cols>
  <sheetData>
    <row r="1" spans="1:19">
      <c r="A1" s="276"/>
      <c r="B1" s="3"/>
      <c r="C1" s="3"/>
      <c r="D1" s="280" t="s">
        <v>0</v>
      </c>
      <c r="E1" s="276"/>
      <c r="F1" s="3"/>
      <c r="G1" s="3"/>
      <c r="H1" s="3"/>
      <c r="I1" s="3"/>
      <c r="J1" s="3"/>
      <c r="K1" s="3"/>
      <c r="L1" s="3"/>
      <c r="M1" s="4"/>
      <c r="N1" s="4"/>
      <c r="O1" s="4"/>
      <c r="P1" s="4"/>
    </row>
    <row r="2" spans="1:19">
      <c r="A2" s="276"/>
      <c r="B2" s="3"/>
      <c r="C2" s="3"/>
      <c r="D2" s="276"/>
      <c r="E2" s="276"/>
      <c r="F2" s="3"/>
      <c r="G2" s="3"/>
      <c r="H2" s="3"/>
      <c r="I2" s="3"/>
      <c r="J2" s="3"/>
      <c r="K2" s="3"/>
      <c r="L2" s="3"/>
      <c r="M2" s="4"/>
      <c r="N2" s="4"/>
      <c r="O2" s="4"/>
      <c r="P2" s="4"/>
    </row>
    <row r="3" spans="1:19" ht="24" customHeight="1">
      <c r="A3" s="278" t="s">
        <v>1</v>
      </c>
      <c r="B3" s="276"/>
      <c r="C3" s="276"/>
      <c r="D3" s="276"/>
      <c r="E3" s="276"/>
      <c r="F3" s="276"/>
      <c r="G3" s="3"/>
      <c r="H3" s="3"/>
      <c r="I3" s="3"/>
      <c r="J3" s="3"/>
      <c r="K3" s="3"/>
      <c r="L3" s="3"/>
      <c r="M3" s="4"/>
      <c r="N3" s="4"/>
      <c r="O3" s="4"/>
      <c r="P3" s="4"/>
    </row>
    <row r="4" spans="1:19" ht="6" customHeight="1">
      <c r="A4" s="5"/>
      <c r="B4" s="289" t="s">
        <v>2</v>
      </c>
      <c r="C4" s="290"/>
      <c r="D4" s="5"/>
      <c r="E4" s="5"/>
      <c r="F4" s="5"/>
      <c r="G4" s="5"/>
      <c r="H4" s="5"/>
      <c r="I4" s="5"/>
      <c r="J4" s="5"/>
      <c r="K4" s="5"/>
      <c r="L4" s="5"/>
      <c r="M4" s="4"/>
      <c r="N4" s="4"/>
      <c r="O4" s="4"/>
      <c r="P4" s="4"/>
    </row>
    <row r="5" spans="1:19" ht="6" customHeight="1">
      <c r="A5" s="6"/>
      <c r="B5" s="273"/>
      <c r="C5" s="273"/>
      <c r="D5" s="7"/>
      <c r="E5" s="7"/>
      <c r="F5" s="7"/>
      <c r="G5" s="7"/>
      <c r="H5" s="7"/>
      <c r="I5" s="7"/>
      <c r="J5" s="7"/>
      <c r="K5" s="7"/>
      <c r="L5" s="8"/>
      <c r="M5" s="4"/>
      <c r="N5" s="4"/>
      <c r="O5" s="4"/>
      <c r="P5" s="4"/>
    </row>
    <row r="6" spans="1:19" ht="33.950000000000003" customHeight="1">
      <c r="A6" s="9"/>
      <c r="B6" s="297" t="s">
        <v>3</v>
      </c>
      <c r="C6" s="276"/>
      <c r="D6" s="276"/>
      <c r="E6" s="276"/>
      <c r="F6" s="276"/>
      <c r="G6" s="276"/>
      <c r="H6" s="276"/>
      <c r="I6" s="276"/>
      <c r="J6" s="3"/>
      <c r="K6" s="3"/>
      <c r="L6" s="10"/>
      <c r="M6" s="4"/>
      <c r="N6" s="4"/>
      <c r="O6" s="4"/>
      <c r="P6" s="4"/>
    </row>
    <row r="7" spans="1:19">
      <c r="A7" s="11"/>
      <c r="B7" s="5"/>
      <c r="C7" s="5"/>
      <c r="D7" s="5"/>
      <c r="E7" s="5"/>
      <c r="F7" s="5"/>
      <c r="G7" s="5"/>
      <c r="H7" s="5"/>
      <c r="I7" s="5"/>
      <c r="J7" s="5"/>
      <c r="K7" s="5"/>
      <c r="L7" s="12"/>
      <c r="M7" s="4"/>
      <c r="N7" s="4"/>
      <c r="O7" s="4"/>
      <c r="P7" s="4"/>
    </row>
    <row r="8" spans="1:19" ht="14.1" customHeight="1">
      <c r="A8" s="5"/>
      <c r="B8" s="293" t="s">
        <v>4</v>
      </c>
      <c r="C8" s="290"/>
      <c r="D8" s="5"/>
      <c r="E8" s="5"/>
      <c r="F8" s="5"/>
      <c r="G8" s="5"/>
      <c r="H8" s="5"/>
      <c r="I8" s="5"/>
      <c r="J8" s="5"/>
      <c r="K8" s="5"/>
      <c r="L8" s="5"/>
      <c r="M8" s="4"/>
      <c r="N8" s="4"/>
      <c r="O8" s="4"/>
      <c r="P8" s="4"/>
    </row>
    <row r="9" spans="1:19" ht="8.1" customHeight="1">
      <c r="A9" s="6"/>
      <c r="B9" s="273"/>
      <c r="C9" s="273"/>
      <c r="D9" s="7"/>
      <c r="E9" s="7"/>
      <c r="F9" s="7"/>
      <c r="G9" s="7"/>
      <c r="H9" s="7"/>
      <c r="I9" s="7"/>
      <c r="J9" s="7"/>
      <c r="K9" s="7"/>
      <c r="L9" s="8"/>
      <c r="M9" s="4"/>
      <c r="N9" s="4"/>
      <c r="O9" s="4"/>
      <c r="P9" s="4"/>
    </row>
    <row r="10" spans="1:19">
      <c r="A10" s="275" t="s">
        <v>5</v>
      </c>
      <c r="B10" s="276"/>
      <c r="C10" s="294"/>
      <c r="D10" s="276"/>
      <c r="E10" s="3"/>
      <c r="F10" s="14"/>
      <c r="G10" s="3"/>
      <c r="H10" s="15" t="s">
        <v>88</v>
      </c>
      <c r="I10" s="16">
        <f>G32</f>
        <v>0</v>
      </c>
      <c r="J10" s="3"/>
      <c r="K10" s="3"/>
      <c r="L10" s="10"/>
      <c r="M10" s="4"/>
      <c r="N10" s="4"/>
      <c r="O10" s="4"/>
      <c r="P10" s="4"/>
    </row>
    <row r="11" spans="1:19" ht="15.95" customHeight="1">
      <c r="A11" s="277" t="s">
        <v>393</v>
      </c>
      <c r="B11" s="276"/>
      <c r="C11" s="276"/>
      <c r="D11" s="276"/>
      <c r="E11" s="276"/>
      <c r="F11" s="295"/>
      <c r="G11" s="276"/>
      <c r="H11" s="15" t="s">
        <v>89</v>
      </c>
      <c r="I11" s="16">
        <f>ROUND(I10*(1+Q11),2)</f>
        <v>0</v>
      </c>
      <c r="J11" s="3"/>
      <c r="K11" s="3"/>
      <c r="L11" s="10"/>
      <c r="M11" s="4"/>
      <c r="N11" s="4"/>
      <c r="O11" s="4"/>
      <c r="P11" s="4"/>
      <c r="Q11" s="1">
        <f>IF(SUM(J20:J20)&gt;0,ROUND(SUM(S20:S20)/SUM(J20:J20)-1,8),0)</f>
        <v>0</v>
      </c>
      <c r="R11" s="1">
        <f>AVERAGE(I32)</f>
        <v>0.21</v>
      </c>
      <c r="S11" s="1">
        <f>I10*(1+Q11)</f>
        <v>0</v>
      </c>
    </row>
    <row r="12" spans="1:19">
      <c r="A12" s="275" t="s">
        <v>7</v>
      </c>
      <c r="B12" s="276"/>
      <c r="C12" s="294"/>
      <c r="D12" s="276"/>
      <c r="E12" s="276"/>
      <c r="F12" s="296"/>
      <c r="G12" s="276"/>
      <c r="H12" s="3"/>
      <c r="I12" s="3"/>
      <c r="J12" s="3"/>
      <c r="K12" s="3"/>
      <c r="L12" s="10"/>
      <c r="M12" s="4"/>
      <c r="N12" s="4"/>
      <c r="O12" s="4"/>
      <c r="P12" s="4"/>
    </row>
    <row r="13" spans="1:19" ht="15.95" customHeight="1">
      <c r="A13" s="277">
        <f>Souhrn!A13</f>
        <v>0</v>
      </c>
      <c r="B13" s="276"/>
      <c r="C13" s="276"/>
      <c r="D13" s="276"/>
      <c r="E13" s="276"/>
      <c r="F13" s="295"/>
      <c r="G13" s="276"/>
      <c r="H13" s="15" t="s">
        <v>8</v>
      </c>
      <c r="I13" s="13">
        <f>Souhrn!E13</f>
        <v>0</v>
      </c>
      <c r="J13" s="3"/>
      <c r="K13" s="3"/>
      <c r="L13" s="10"/>
      <c r="M13" s="4"/>
      <c r="N13" s="4"/>
      <c r="O13" s="4"/>
      <c r="P13" s="4"/>
    </row>
    <row r="14" spans="1:19">
      <c r="A14" s="9"/>
      <c r="B14" s="3"/>
      <c r="C14" s="3"/>
      <c r="D14" s="3"/>
      <c r="E14" s="3"/>
      <c r="F14" s="3"/>
      <c r="G14" s="3"/>
      <c r="H14" s="15" t="s">
        <v>9</v>
      </c>
      <c r="I14" s="13">
        <f>Souhrn!E14</f>
        <v>0</v>
      </c>
      <c r="J14" s="3"/>
      <c r="K14" s="3"/>
      <c r="L14" s="10"/>
      <c r="M14" s="4"/>
      <c r="N14" s="4"/>
      <c r="O14" s="4"/>
      <c r="P14" s="4"/>
    </row>
    <row r="15" spans="1:19" hidden="1">
      <c r="A15" s="9"/>
      <c r="B15" s="3"/>
      <c r="C15" s="3"/>
      <c r="D15" s="3"/>
      <c r="E15" s="3"/>
      <c r="F15" s="3"/>
      <c r="G15" s="3"/>
      <c r="H15" s="3"/>
      <c r="I15" s="3"/>
      <c r="J15" s="3"/>
      <c r="K15" s="3"/>
      <c r="L15" s="10"/>
      <c r="M15" s="4"/>
      <c r="N15" s="4"/>
      <c r="O15" s="4"/>
      <c r="P15" s="4"/>
    </row>
    <row r="16" spans="1:19" ht="9.9499999999999993" customHeight="1">
      <c r="A16" s="11"/>
      <c r="B16" s="5"/>
      <c r="C16" s="5"/>
      <c r="D16" s="5"/>
      <c r="E16" s="5"/>
      <c r="F16" s="5"/>
      <c r="G16" s="5"/>
      <c r="H16" s="5"/>
      <c r="I16" s="5"/>
      <c r="J16" s="5"/>
      <c r="K16" s="5"/>
      <c r="L16" s="12"/>
      <c r="M16" s="4"/>
      <c r="N16" s="4"/>
      <c r="O16" s="4"/>
      <c r="P16" s="4"/>
    </row>
    <row r="17" spans="1:19" ht="14.1" customHeight="1">
      <c r="A17" s="5"/>
      <c r="B17" s="289" t="s">
        <v>10</v>
      </c>
      <c r="C17" s="290"/>
      <c r="D17" s="5"/>
      <c r="E17" s="5"/>
      <c r="F17" s="5"/>
      <c r="G17" s="5"/>
      <c r="H17" s="5"/>
      <c r="I17" s="5"/>
      <c r="J17" s="5"/>
      <c r="K17" s="5"/>
      <c r="L17" s="5"/>
      <c r="M17" s="4"/>
      <c r="N17" s="4"/>
      <c r="O17" s="4"/>
      <c r="P17" s="4"/>
    </row>
    <row r="18" spans="1:19" ht="6" customHeight="1">
      <c r="A18" s="6"/>
      <c r="B18" s="273"/>
      <c r="C18" s="273"/>
      <c r="D18" s="7"/>
      <c r="E18" s="7"/>
      <c r="F18" s="7"/>
      <c r="G18" s="7"/>
      <c r="H18" s="7"/>
      <c r="I18" s="7"/>
      <c r="J18" s="7"/>
      <c r="K18" s="7"/>
      <c r="L18" s="8"/>
      <c r="M18" s="4"/>
      <c r="N18" s="4"/>
      <c r="O18" s="4"/>
      <c r="P18" s="4"/>
    </row>
    <row r="19" spans="1:19" ht="18" customHeight="1">
      <c r="A19" s="9"/>
      <c r="B19" s="291" t="s">
        <v>11</v>
      </c>
      <c r="C19" s="291"/>
      <c r="D19" s="291"/>
      <c r="E19" s="291" t="s">
        <v>12</v>
      </c>
      <c r="F19" s="292"/>
      <c r="G19" s="19"/>
      <c r="H19" s="19"/>
      <c r="I19" s="19"/>
      <c r="J19" s="19" t="s">
        <v>13</v>
      </c>
      <c r="K19" s="19" t="s">
        <v>14</v>
      </c>
      <c r="L19" s="10"/>
      <c r="M19" s="4"/>
      <c r="N19" s="4"/>
      <c r="O19" s="4"/>
      <c r="P19" s="4"/>
    </row>
    <row r="20" spans="1:19">
      <c r="A20" s="9"/>
      <c r="B20" s="287">
        <v>0</v>
      </c>
      <c r="C20" s="276"/>
      <c r="D20" s="276"/>
      <c r="E20" s="20" t="s">
        <v>43</v>
      </c>
      <c r="F20" s="3"/>
      <c r="G20" s="3"/>
      <c r="H20" s="3"/>
      <c r="I20" s="3"/>
      <c r="J20" s="21">
        <f>G32</f>
        <v>0</v>
      </c>
      <c r="K20" s="21">
        <f>K32</f>
        <v>0</v>
      </c>
      <c r="L20" s="10"/>
      <c r="M20" s="4"/>
      <c r="N20" s="4"/>
      <c r="O20" s="4"/>
      <c r="P20" s="4"/>
      <c r="S20" s="1">
        <f>S32</f>
        <v>0</v>
      </c>
    </row>
    <row r="21" spans="1:19">
      <c r="A21" s="11"/>
      <c r="B21" s="5"/>
      <c r="C21" s="5"/>
      <c r="D21" s="5"/>
      <c r="E21" s="5"/>
      <c r="F21" s="5"/>
      <c r="G21" s="5"/>
      <c r="H21" s="5"/>
      <c r="I21" s="5"/>
      <c r="J21" s="5"/>
      <c r="K21" s="5"/>
      <c r="L21" s="12"/>
      <c r="M21" s="4"/>
      <c r="N21" s="4"/>
      <c r="O21" s="4"/>
      <c r="P21" s="4"/>
    </row>
    <row r="22" spans="1:19" ht="14.1" customHeight="1">
      <c r="A22" s="5"/>
      <c r="B22" s="289" t="s">
        <v>15</v>
      </c>
      <c r="C22" s="290"/>
      <c r="D22" s="5"/>
      <c r="E22" s="5"/>
      <c r="F22" s="5"/>
      <c r="G22" s="5"/>
      <c r="H22" s="5"/>
      <c r="I22" s="5"/>
      <c r="J22" s="5"/>
      <c r="K22" s="5"/>
      <c r="L22" s="5"/>
      <c r="M22" s="4"/>
      <c r="N22" s="4"/>
      <c r="O22" s="4"/>
      <c r="P22" s="4"/>
    </row>
    <row r="23" spans="1:19" ht="18" customHeight="1">
      <c r="A23" s="6"/>
      <c r="B23" s="273"/>
      <c r="C23" s="273"/>
      <c r="D23" s="7"/>
      <c r="E23" s="7"/>
      <c r="F23" s="7"/>
      <c r="G23" s="7"/>
      <c r="H23" s="7"/>
      <c r="I23" s="7"/>
      <c r="J23" s="7"/>
      <c r="K23" s="7"/>
      <c r="L23" s="8"/>
      <c r="M23" s="4"/>
      <c r="N23" s="4"/>
      <c r="O23" s="4"/>
      <c r="P23" s="4"/>
    </row>
    <row r="24" spans="1:19" ht="18" customHeight="1">
      <c r="A24" s="9"/>
      <c r="B24" s="17" t="s">
        <v>16</v>
      </c>
      <c r="C24" s="17" t="s">
        <v>11</v>
      </c>
      <c r="D24" s="17" t="s">
        <v>17</v>
      </c>
      <c r="E24" s="17" t="s">
        <v>12</v>
      </c>
      <c r="F24" s="18" t="s">
        <v>18</v>
      </c>
      <c r="G24" s="19" t="s">
        <v>19</v>
      </c>
      <c r="H24" s="19" t="s">
        <v>20</v>
      </c>
      <c r="I24" s="19" t="s">
        <v>13</v>
      </c>
      <c r="J24" s="18" t="s">
        <v>21</v>
      </c>
      <c r="K24" s="19" t="s">
        <v>14</v>
      </c>
      <c r="L24" s="10"/>
      <c r="M24" s="4"/>
      <c r="N24" s="4"/>
      <c r="O24" s="4"/>
      <c r="P24" s="4"/>
    </row>
    <row r="25" spans="1:19" ht="39.950000000000003" customHeight="1">
      <c r="A25" s="9"/>
      <c r="B25" s="288" t="s">
        <v>42</v>
      </c>
      <c r="C25" s="276"/>
      <c r="D25" s="276"/>
      <c r="E25" s="276"/>
      <c r="F25" s="276"/>
      <c r="G25" s="276"/>
      <c r="H25" s="286"/>
      <c r="I25" s="276"/>
      <c r="J25" s="286"/>
      <c r="K25" s="276"/>
      <c r="L25" s="10"/>
      <c r="M25" s="4"/>
      <c r="N25" s="4"/>
      <c r="O25" s="4"/>
      <c r="P25" s="4"/>
    </row>
    <row r="26" spans="1:19">
      <c r="A26" s="9"/>
      <c r="B26" s="22">
        <v>1</v>
      </c>
      <c r="C26" s="23" t="s">
        <v>394</v>
      </c>
      <c r="D26" s="23" t="s">
        <v>92</v>
      </c>
      <c r="E26" s="23" t="s">
        <v>395</v>
      </c>
      <c r="F26" s="24" t="s">
        <v>40</v>
      </c>
      <c r="G26" s="25">
        <f>ROUND(1,3)</f>
        <v>1</v>
      </c>
      <c r="H26" s="40">
        <f>ROUND(0,2)</f>
        <v>0</v>
      </c>
      <c r="I26" s="26">
        <f>ROUND(H26*G26,2)</f>
        <v>0</v>
      </c>
      <c r="J26" s="45" t="s">
        <v>25</v>
      </c>
      <c r="K26" s="26">
        <f>IF(ISNUMBER(J26),ROUND(I26*(J26+1),2),0)</f>
        <v>0</v>
      </c>
      <c r="L26" s="10"/>
      <c r="M26" s="4"/>
      <c r="N26" s="4"/>
      <c r="O26" s="4"/>
      <c r="P26" s="4"/>
      <c r="Q26" s="1">
        <f>IF(ISNUMBER(J26),IF(G26&gt;0,IF(H26&gt;0,I26,0),0),0)</f>
        <v>0</v>
      </c>
      <c r="R26" s="1">
        <f>IF(ISNUMBER(J26)=FALSE,I26,0)</f>
        <v>0</v>
      </c>
    </row>
    <row r="27" spans="1:19">
      <c r="A27" s="9"/>
      <c r="B27" s="283" t="s">
        <v>27</v>
      </c>
      <c r="C27" s="276"/>
      <c r="D27" s="276"/>
      <c r="E27" s="27" t="s">
        <v>396</v>
      </c>
      <c r="F27" s="3"/>
      <c r="G27" s="3"/>
      <c r="H27" s="39"/>
      <c r="I27" s="3"/>
      <c r="J27" s="39"/>
      <c r="K27" s="3"/>
      <c r="L27" s="10"/>
      <c r="M27" s="4"/>
      <c r="N27" s="4"/>
      <c r="O27" s="4"/>
      <c r="P27" s="4"/>
    </row>
    <row r="28" spans="1:19" ht="13.5" thickBot="1">
      <c r="A28" s="9"/>
      <c r="B28" s="281" t="s">
        <v>28</v>
      </c>
      <c r="C28" s="282"/>
      <c r="D28" s="282"/>
      <c r="E28" s="29" t="s">
        <v>397</v>
      </c>
      <c r="F28" s="28"/>
      <c r="G28" s="28"/>
      <c r="H28" s="41"/>
      <c r="I28" s="28"/>
      <c r="J28" s="41"/>
      <c r="K28" s="28"/>
      <c r="L28" s="10"/>
      <c r="M28" s="4"/>
      <c r="N28" s="4"/>
      <c r="O28" s="4"/>
      <c r="P28" s="4"/>
    </row>
    <row r="29" spans="1:19" ht="13.5" thickTop="1">
      <c r="A29" s="9"/>
      <c r="B29" s="22">
        <v>2</v>
      </c>
      <c r="C29" s="23" t="s">
        <v>398</v>
      </c>
      <c r="D29" s="23" t="s">
        <v>92</v>
      </c>
      <c r="E29" s="23" t="s">
        <v>399</v>
      </c>
      <c r="F29" s="24" t="s">
        <v>400</v>
      </c>
      <c r="G29" s="30">
        <f>ROUND(1,3)</f>
        <v>1</v>
      </c>
      <c r="H29" s="42">
        <f>ROUND(0,2)</f>
        <v>0</v>
      </c>
      <c r="I29" s="31">
        <f>ROUND(H29*G29,2)</f>
        <v>0</v>
      </c>
      <c r="J29" s="46" t="s">
        <v>25</v>
      </c>
      <c r="K29" s="31">
        <f>IF(ISNUMBER(J29),ROUND(I29*(J29+1),2),0)</f>
        <v>0</v>
      </c>
      <c r="L29" s="10"/>
      <c r="M29" s="4"/>
      <c r="N29" s="4"/>
      <c r="O29" s="4"/>
      <c r="P29" s="4"/>
      <c r="Q29" s="1">
        <f>IF(ISNUMBER(J29),IF(G29&gt;0,IF(H29&gt;0,I29,0),0),0)</f>
        <v>0</v>
      </c>
      <c r="R29" s="1">
        <f>IF(ISNUMBER(J29)=FALSE,I29,0)</f>
        <v>0</v>
      </c>
    </row>
    <row r="30" spans="1:19">
      <c r="A30" s="9"/>
      <c r="B30" s="283" t="s">
        <v>27</v>
      </c>
      <c r="C30" s="276"/>
      <c r="D30" s="276"/>
      <c r="E30" s="27" t="s">
        <v>25</v>
      </c>
      <c r="F30" s="3"/>
      <c r="G30" s="3"/>
      <c r="H30" s="39"/>
      <c r="I30" s="3"/>
      <c r="J30" s="39"/>
      <c r="K30" s="3"/>
      <c r="L30" s="10"/>
      <c r="M30" s="4"/>
      <c r="N30" s="4"/>
      <c r="O30" s="4"/>
      <c r="P30" s="4"/>
    </row>
    <row r="31" spans="1:19" ht="13.5" thickBot="1">
      <c r="A31" s="9"/>
      <c r="B31" s="281" t="s">
        <v>28</v>
      </c>
      <c r="C31" s="282"/>
      <c r="D31" s="282"/>
      <c r="E31" s="29" t="s">
        <v>397</v>
      </c>
      <c r="F31" s="28"/>
      <c r="G31" s="28"/>
      <c r="H31" s="41"/>
      <c r="I31" s="28"/>
      <c r="J31" s="41"/>
      <c r="K31" s="28"/>
      <c r="L31" s="10"/>
      <c r="M31" s="4"/>
      <c r="N31" s="4"/>
      <c r="O31" s="4"/>
      <c r="P31" s="4"/>
    </row>
    <row r="32" spans="1:19" ht="24.95" customHeight="1" thickTop="1" thickBot="1">
      <c r="A32" s="9"/>
      <c r="B32" s="32"/>
      <c r="C32" s="33">
        <v>0</v>
      </c>
      <c r="D32" s="32"/>
      <c r="E32" s="34" t="s">
        <v>43</v>
      </c>
      <c r="F32" s="35" t="s">
        <v>44</v>
      </c>
      <c r="G32" s="36">
        <f>I26+I29</f>
        <v>0</v>
      </c>
      <c r="H32" s="43" t="s">
        <v>45</v>
      </c>
      <c r="I32" s="37">
        <f>IF(COUNT(J26:J32)&gt;0,AVERAGE(J26:J32),0.21)</f>
        <v>0.21</v>
      </c>
      <c r="J32" s="43" t="s">
        <v>46</v>
      </c>
      <c r="K32" s="36">
        <f>ROUND(Q32*(1+I32),2)+R32</f>
        <v>0</v>
      </c>
      <c r="L32" s="10"/>
      <c r="M32" s="4"/>
      <c r="N32" s="4"/>
      <c r="O32" s="4"/>
      <c r="P32" s="4"/>
      <c r="Q32" s="1">
        <f>0+Q26+Q29</f>
        <v>0</v>
      </c>
      <c r="R32" s="1">
        <f>0+R26+R29</f>
        <v>0</v>
      </c>
      <c r="S32" s="2">
        <f>Q32*(1+I32)+R32</f>
        <v>0</v>
      </c>
    </row>
    <row r="33" spans="1:16">
      <c r="A33" s="11"/>
      <c r="B33" s="5"/>
      <c r="C33" s="5"/>
      <c r="D33" s="5"/>
      <c r="E33" s="38"/>
      <c r="F33" s="5"/>
      <c r="G33" s="5"/>
      <c r="H33" s="44"/>
      <c r="I33" s="5"/>
      <c r="J33" s="44"/>
      <c r="K33" s="5"/>
      <c r="L33" s="12"/>
      <c r="M33" s="4"/>
      <c r="N33" s="4"/>
      <c r="O33" s="4"/>
      <c r="P33" s="4"/>
    </row>
  </sheetData>
  <autoFilter ref="A1:S1" xr:uid="{00000000-0009-0000-0000-00000A000000}">
    <filterColumn colId="3" showButton="0"/>
  </autoFilter>
  <mergeCells count="20">
    <mergeCell ref="A1:A2"/>
    <mergeCell ref="A3:F3"/>
    <mergeCell ref="B4:C5"/>
    <mergeCell ref="B6:I6"/>
    <mergeCell ref="D1:E2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30:D30"/>
    <mergeCell ref="B31:D31"/>
    <mergeCell ref="B25:K25"/>
    <mergeCell ref="B20:D20"/>
  </mergeCells>
  <pageMargins left="0.39370078740157499" right="0.39370078740157499" top="0.59055118110236204" bottom="0.39370078740157499" header="0.196850393700787" footer="0.15748031496063"/>
  <pageSetup paperSize="9" fitToHeight="0" orientation="portrait"/>
  <headerFooter>
    <oddFooter>&amp;CLÁVKA PŘES LABE V NYMBURKU | Přeložka vodovodu&amp;R&amp;P/&amp;N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10 - SO341UN_cm">
    <tabColor theme="8" tint="0.39997558519241921"/>
    <pageSetUpPr fitToPage="1"/>
  </sheetPr>
  <dimension ref="A1:S99"/>
  <sheetViews>
    <sheetView workbookViewId="0">
      <selection sqref="A1:A2"/>
    </sheetView>
  </sheetViews>
  <sheetFormatPr defaultRowHeight="12.75"/>
  <cols>
    <col min="1" max="1" width="4.7109375"/>
    <col min="2" max="2" width="5.7109375"/>
    <col min="3" max="3" width="11.7109375"/>
    <col min="4" max="4" width="5.7109375"/>
    <col min="5" max="5" width="80.7109375"/>
    <col min="6" max="6" width="20.7109375"/>
    <col min="7" max="11" width="22.7109375"/>
    <col min="12" max="12" width="4.7109375"/>
    <col min="17" max="19" width="0" hidden="1"/>
  </cols>
  <sheetData>
    <row r="1" spans="1:19">
      <c r="A1" s="276"/>
      <c r="B1" s="3"/>
      <c r="C1" s="3"/>
      <c r="D1" s="280" t="s">
        <v>0</v>
      </c>
      <c r="E1" s="276"/>
      <c r="F1" s="3"/>
      <c r="G1" s="3"/>
      <c r="H1" s="3"/>
      <c r="I1" s="3"/>
      <c r="J1" s="3"/>
      <c r="K1" s="3"/>
      <c r="L1" s="3"/>
      <c r="M1" s="4"/>
      <c r="N1" s="4"/>
      <c r="O1" s="4"/>
      <c r="P1" s="4"/>
    </row>
    <row r="2" spans="1:19">
      <c r="A2" s="276"/>
      <c r="B2" s="3"/>
      <c r="C2" s="3"/>
      <c r="D2" s="276"/>
      <c r="E2" s="276"/>
      <c r="F2" s="3"/>
      <c r="G2" s="3"/>
      <c r="H2" s="3"/>
      <c r="I2" s="3"/>
      <c r="J2" s="3"/>
      <c r="K2" s="3"/>
      <c r="L2" s="3"/>
      <c r="M2" s="4"/>
      <c r="N2" s="4"/>
      <c r="O2" s="4"/>
      <c r="P2" s="4"/>
    </row>
    <row r="3" spans="1:19" ht="24" customHeight="1">
      <c r="A3" s="278" t="s">
        <v>1</v>
      </c>
      <c r="B3" s="276"/>
      <c r="C3" s="276"/>
      <c r="D3" s="276"/>
      <c r="E3" s="276"/>
      <c r="F3" s="276"/>
      <c r="G3" s="3"/>
      <c r="H3" s="3"/>
      <c r="I3" s="3"/>
      <c r="J3" s="3"/>
      <c r="K3" s="3"/>
      <c r="L3" s="3"/>
      <c r="M3" s="4"/>
      <c r="N3" s="4"/>
      <c r="O3" s="4"/>
      <c r="P3" s="4"/>
    </row>
    <row r="4" spans="1:19" ht="6" customHeight="1">
      <c r="A4" s="5"/>
      <c r="B4" s="289" t="s">
        <v>2</v>
      </c>
      <c r="C4" s="290"/>
      <c r="D4" s="5"/>
      <c r="E4" s="5"/>
      <c r="F4" s="5"/>
      <c r="G4" s="5"/>
      <c r="H4" s="5"/>
      <c r="I4" s="5"/>
      <c r="J4" s="5"/>
      <c r="K4" s="5"/>
      <c r="L4" s="5"/>
      <c r="M4" s="4"/>
      <c r="N4" s="4"/>
      <c r="O4" s="4"/>
      <c r="P4" s="4"/>
    </row>
    <row r="5" spans="1:19" ht="6" customHeight="1">
      <c r="A5" s="6"/>
      <c r="B5" s="273"/>
      <c r="C5" s="273"/>
      <c r="D5" s="7"/>
      <c r="E5" s="7"/>
      <c r="F5" s="7"/>
      <c r="G5" s="7"/>
      <c r="H5" s="7"/>
      <c r="I5" s="7"/>
      <c r="J5" s="7"/>
      <c r="K5" s="7"/>
      <c r="L5" s="8"/>
      <c r="M5" s="4"/>
      <c r="N5" s="4"/>
      <c r="O5" s="4"/>
      <c r="P5" s="4"/>
    </row>
    <row r="6" spans="1:19" ht="33.950000000000003" customHeight="1">
      <c r="A6" s="9"/>
      <c r="B6" s="297" t="s">
        <v>3</v>
      </c>
      <c r="C6" s="276"/>
      <c r="D6" s="276"/>
      <c r="E6" s="276"/>
      <c r="F6" s="276"/>
      <c r="G6" s="276"/>
      <c r="H6" s="276"/>
      <c r="I6" s="276"/>
      <c r="J6" s="3"/>
      <c r="K6" s="3"/>
      <c r="L6" s="10"/>
      <c r="M6" s="4"/>
      <c r="N6" s="4"/>
      <c r="O6" s="4"/>
      <c r="P6" s="4"/>
    </row>
    <row r="7" spans="1:19">
      <c r="A7" s="11"/>
      <c r="B7" s="5"/>
      <c r="C7" s="5"/>
      <c r="D7" s="5"/>
      <c r="E7" s="5"/>
      <c r="F7" s="5"/>
      <c r="G7" s="5"/>
      <c r="H7" s="5"/>
      <c r="I7" s="5"/>
      <c r="J7" s="5"/>
      <c r="K7" s="5"/>
      <c r="L7" s="12"/>
      <c r="M7" s="4"/>
      <c r="N7" s="4"/>
      <c r="O7" s="4"/>
      <c r="P7" s="4"/>
    </row>
    <row r="8" spans="1:19" ht="14.1" customHeight="1">
      <c r="A8" s="5"/>
      <c r="B8" s="293" t="s">
        <v>4</v>
      </c>
      <c r="C8" s="290"/>
      <c r="D8" s="5"/>
      <c r="E8" s="5"/>
      <c r="F8" s="5"/>
      <c r="G8" s="5"/>
      <c r="H8" s="5"/>
      <c r="I8" s="5"/>
      <c r="J8" s="5"/>
      <c r="K8" s="5"/>
      <c r="L8" s="5"/>
      <c r="M8" s="4"/>
      <c r="N8" s="4"/>
      <c r="O8" s="4"/>
      <c r="P8" s="4"/>
    </row>
    <row r="9" spans="1:19" ht="8.1" customHeight="1">
      <c r="A9" s="6"/>
      <c r="B9" s="273"/>
      <c r="C9" s="273"/>
      <c r="D9" s="7"/>
      <c r="E9" s="7"/>
      <c r="F9" s="7"/>
      <c r="G9" s="7"/>
      <c r="H9" s="7"/>
      <c r="I9" s="7"/>
      <c r="J9" s="7"/>
      <c r="K9" s="7"/>
      <c r="L9" s="8"/>
      <c r="M9" s="4"/>
      <c r="N9" s="4"/>
      <c r="O9" s="4"/>
      <c r="P9" s="4"/>
    </row>
    <row r="10" spans="1:19">
      <c r="A10" s="275" t="s">
        <v>5</v>
      </c>
      <c r="B10" s="276"/>
      <c r="C10" s="294"/>
      <c r="D10" s="276"/>
      <c r="E10" s="3"/>
      <c r="F10" s="14"/>
      <c r="G10" s="3"/>
      <c r="H10" s="15" t="s">
        <v>88</v>
      </c>
      <c r="I10" s="16">
        <f>G40+G48+G65+G70+G93+G98</f>
        <v>0</v>
      </c>
      <c r="J10" s="3"/>
      <c r="K10" s="3"/>
      <c r="L10" s="10"/>
      <c r="M10" s="4"/>
      <c r="N10" s="4"/>
      <c r="O10" s="4"/>
      <c r="P10" s="4"/>
    </row>
    <row r="11" spans="1:19" ht="15.95" customHeight="1">
      <c r="A11" s="277" t="s">
        <v>401</v>
      </c>
      <c r="B11" s="276"/>
      <c r="C11" s="276"/>
      <c r="D11" s="276"/>
      <c r="E11" s="276"/>
      <c r="F11" s="295"/>
      <c r="G11" s="276"/>
      <c r="H11" s="15" t="s">
        <v>89</v>
      </c>
      <c r="I11" s="16">
        <f>ROUND(I10*(1+Q11),2)</f>
        <v>0</v>
      </c>
      <c r="J11" s="3"/>
      <c r="K11" s="3"/>
      <c r="L11" s="10"/>
      <c r="M11" s="4"/>
      <c r="N11" s="4"/>
      <c r="O11" s="4"/>
      <c r="P11" s="4"/>
      <c r="Q11" s="1">
        <f>IF(SUM(J20:J25)&gt;0,ROUND(SUM(S20:S25)/SUM(J20:J25)-1,8),0)</f>
        <v>0</v>
      </c>
      <c r="R11" s="1">
        <f>AVERAGE(I40,I48,I65,I70,I93,I98)</f>
        <v>0.21</v>
      </c>
      <c r="S11" s="1">
        <f>I10*(1+Q11)</f>
        <v>0</v>
      </c>
    </row>
    <row r="12" spans="1:19">
      <c r="A12" s="275" t="s">
        <v>7</v>
      </c>
      <c r="B12" s="276"/>
      <c r="C12" s="294"/>
      <c r="D12" s="276"/>
      <c r="E12" s="276"/>
      <c r="F12" s="296"/>
      <c r="G12" s="276"/>
      <c r="H12" s="3"/>
      <c r="I12" s="3"/>
      <c r="J12" s="3"/>
      <c r="K12" s="3"/>
      <c r="L12" s="10"/>
      <c r="M12" s="4"/>
      <c r="N12" s="4"/>
      <c r="O12" s="4"/>
      <c r="P12" s="4"/>
    </row>
    <row r="13" spans="1:19" ht="15.95" customHeight="1">
      <c r="A13" s="277">
        <f>Souhrn!A13</f>
        <v>0</v>
      </c>
      <c r="B13" s="276"/>
      <c r="C13" s="276"/>
      <c r="D13" s="276"/>
      <c r="E13" s="276"/>
      <c r="F13" s="295"/>
      <c r="G13" s="276"/>
      <c r="H13" s="15" t="s">
        <v>8</v>
      </c>
      <c r="I13" s="13">
        <f>Souhrn!E13</f>
        <v>0</v>
      </c>
      <c r="J13" s="3"/>
      <c r="K13" s="3"/>
      <c r="L13" s="10"/>
      <c r="M13" s="4"/>
      <c r="N13" s="4"/>
      <c r="O13" s="4"/>
      <c r="P13" s="4"/>
    </row>
    <row r="14" spans="1:19">
      <c r="A14" s="9"/>
      <c r="B14" s="3"/>
      <c r="C14" s="3"/>
      <c r="D14" s="3"/>
      <c r="E14" s="3"/>
      <c r="F14" s="3"/>
      <c r="G14" s="3"/>
      <c r="H14" s="15" t="s">
        <v>9</v>
      </c>
      <c r="I14" s="13">
        <f>Souhrn!E14</f>
        <v>0</v>
      </c>
      <c r="J14" s="3"/>
      <c r="K14" s="3"/>
      <c r="L14" s="10"/>
      <c r="M14" s="4"/>
      <c r="N14" s="4"/>
      <c r="O14" s="4"/>
      <c r="P14" s="4"/>
    </row>
    <row r="15" spans="1:19" hidden="1">
      <c r="A15" s="9"/>
      <c r="B15" s="3"/>
      <c r="C15" s="3"/>
      <c r="D15" s="3"/>
      <c r="E15" s="3"/>
      <c r="F15" s="3"/>
      <c r="G15" s="3"/>
      <c r="H15" s="3"/>
      <c r="I15" s="3"/>
      <c r="J15" s="3"/>
      <c r="K15" s="3"/>
      <c r="L15" s="10"/>
      <c r="M15" s="4"/>
      <c r="N15" s="4"/>
      <c r="O15" s="4"/>
      <c r="P15" s="4"/>
    </row>
    <row r="16" spans="1:19" ht="9.9499999999999993" customHeight="1">
      <c r="A16" s="11"/>
      <c r="B16" s="5"/>
      <c r="C16" s="5"/>
      <c r="D16" s="5"/>
      <c r="E16" s="5"/>
      <c r="F16" s="5"/>
      <c r="G16" s="5"/>
      <c r="H16" s="5"/>
      <c r="I16" s="5"/>
      <c r="J16" s="5"/>
      <c r="K16" s="5"/>
      <c r="L16" s="12"/>
      <c r="M16" s="4"/>
      <c r="N16" s="4"/>
      <c r="O16" s="4"/>
      <c r="P16" s="4"/>
    </row>
    <row r="17" spans="1:19" ht="14.1" customHeight="1">
      <c r="A17" s="5"/>
      <c r="B17" s="289" t="s">
        <v>10</v>
      </c>
      <c r="C17" s="290"/>
      <c r="D17" s="5"/>
      <c r="E17" s="5"/>
      <c r="F17" s="5"/>
      <c r="G17" s="5"/>
      <c r="H17" s="5"/>
      <c r="I17" s="5"/>
      <c r="J17" s="5"/>
      <c r="K17" s="5"/>
      <c r="L17" s="5"/>
      <c r="M17" s="4"/>
      <c r="N17" s="4"/>
      <c r="O17" s="4"/>
      <c r="P17" s="4"/>
    </row>
    <row r="18" spans="1:19" ht="6" customHeight="1">
      <c r="A18" s="6"/>
      <c r="B18" s="273"/>
      <c r="C18" s="273"/>
      <c r="D18" s="7"/>
      <c r="E18" s="7"/>
      <c r="F18" s="7"/>
      <c r="G18" s="7"/>
      <c r="H18" s="7"/>
      <c r="I18" s="7"/>
      <c r="J18" s="7"/>
      <c r="K18" s="7"/>
      <c r="L18" s="8"/>
      <c r="M18" s="4"/>
      <c r="N18" s="4"/>
      <c r="O18" s="4"/>
      <c r="P18" s="4"/>
    </row>
    <row r="19" spans="1:19" ht="18" customHeight="1">
      <c r="A19" s="9"/>
      <c r="B19" s="291" t="s">
        <v>11</v>
      </c>
      <c r="C19" s="291"/>
      <c r="D19" s="291"/>
      <c r="E19" s="291" t="s">
        <v>12</v>
      </c>
      <c r="F19" s="292"/>
      <c r="G19" s="19"/>
      <c r="H19" s="19"/>
      <c r="I19" s="19"/>
      <c r="J19" s="19" t="s">
        <v>13</v>
      </c>
      <c r="K19" s="19" t="s">
        <v>14</v>
      </c>
      <c r="L19" s="10"/>
      <c r="M19" s="4"/>
      <c r="N19" s="4"/>
      <c r="O19" s="4"/>
      <c r="P19" s="4"/>
    </row>
    <row r="20" spans="1:19">
      <c r="A20" s="9"/>
      <c r="B20" s="287">
        <v>0</v>
      </c>
      <c r="C20" s="276"/>
      <c r="D20" s="276"/>
      <c r="E20" s="20" t="s">
        <v>43</v>
      </c>
      <c r="F20" s="3"/>
      <c r="G20" s="3"/>
      <c r="H20" s="3"/>
      <c r="I20" s="3"/>
      <c r="J20" s="21">
        <f>G40</f>
        <v>0</v>
      </c>
      <c r="K20" s="21">
        <f>K40</f>
        <v>0</v>
      </c>
      <c r="L20" s="10"/>
      <c r="M20" s="4"/>
      <c r="N20" s="4"/>
      <c r="O20" s="4"/>
      <c r="P20" s="4"/>
      <c r="S20" s="1">
        <f>S40</f>
        <v>0</v>
      </c>
    </row>
    <row r="21" spans="1:19">
      <c r="A21" s="9"/>
      <c r="B21" s="287">
        <v>15</v>
      </c>
      <c r="C21" s="276"/>
      <c r="D21" s="276"/>
      <c r="E21" s="20" t="s">
        <v>418</v>
      </c>
      <c r="F21" s="3"/>
      <c r="G21" s="3"/>
      <c r="H21" s="3"/>
      <c r="I21" s="3"/>
      <c r="J21" s="21">
        <f>G48</f>
        <v>0</v>
      </c>
      <c r="K21" s="21">
        <f>K48</f>
        <v>0</v>
      </c>
      <c r="L21" s="10"/>
      <c r="M21" s="4"/>
      <c r="N21" s="4"/>
      <c r="O21" s="4"/>
      <c r="P21" s="4"/>
      <c r="S21" s="1">
        <f>S48</f>
        <v>0</v>
      </c>
    </row>
    <row r="22" spans="1:19">
      <c r="A22" s="9"/>
      <c r="B22" s="287">
        <v>1</v>
      </c>
      <c r="C22" s="276"/>
      <c r="D22" s="276"/>
      <c r="E22" s="20" t="s">
        <v>72</v>
      </c>
      <c r="F22" s="3"/>
      <c r="G22" s="3"/>
      <c r="H22" s="3"/>
      <c r="I22" s="3"/>
      <c r="J22" s="21">
        <f>G65</f>
        <v>0</v>
      </c>
      <c r="K22" s="21">
        <f>K65</f>
        <v>0</v>
      </c>
      <c r="L22" s="10"/>
      <c r="M22" s="4"/>
      <c r="N22" s="4"/>
      <c r="O22" s="4"/>
      <c r="P22" s="4"/>
      <c r="S22" s="1">
        <f>S65</f>
        <v>0</v>
      </c>
    </row>
    <row r="23" spans="1:19">
      <c r="A23" s="9"/>
      <c r="B23" s="287">
        <v>4</v>
      </c>
      <c r="C23" s="276"/>
      <c r="D23" s="276"/>
      <c r="E23" s="20" t="s">
        <v>122</v>
      </c>
      <c r="F23" s="3"/>
      <c r="G23" s="3"/>
      <c r="H23" s="3"/>
      <c r="I23" s="3"/>
      <c r="J23" s="21">
        <f>G70</f>
        <v>0</v>
      </c>
      <c r="K23" s="21">
        <f>K70</f>
        <v>0</v>
      </c>
      <c r="L23" s="10"/>
      <c r="M23" s="4"/>
      <c r="N23" s="4"/>
      <c r="O23" s="4"/>
      <c r="P23" s="4"/>
      <c r="S23" s="1">
        <f>S70</f>
        <v>0</v>
      </c>
    </row>
    <row r="24" spans="1:19">
      <c r="A24" s="9"/>
      <c r="B24" s="287">
        <v>8</v>
      </c>
      <c r="C24" s="276"/>
      <c r="D24" s="276"/>
      <c r="E24" s="20" t="s">
        <v>163</v>
      </c>
      <c r="F24" s="3"/>
      <c r="G24" s="3"/>
      <c r="H24" s="3"/>
      <c r="I24" s="3"/>
      <c r="J24" s="21">
        <f>G93</f>
        <v>0</v>
      </c>
      <c r="K24" s="21">
        <f>K93</f>
        <v>0</v>
      </c>
      <c r="L24" s="10"/>
      <c r="M24" s="4"/>
      <c r="N24" s="4"/>
      <c r="O24" s="4"/>
      <c r="P24" s="4"/>
      <c r="S24" s="1">
        <f>S93</f>
        <v>0</v>
      </c>
    </row>
    <row r="25" spans="1:19">
      <c r="A25" s="9"/>
      <c r="B25" s="287">
        <v>9</v>
      </c>
      <c r="C25" s="276"/>
      <c r="D25" s="276"/>
      <c r="E25" s="20" t="s">
        <v>87</v>
      </c>
      <c r="F25" s="3"/>
      <c r="G25" s="3"/>
      <c r="H25" s="3"/>
      <c r="I25" s="3"/>
      <c r="J25" s="21">
        <f>G98</f>
        <v>0</v>
      </c>
      <c r="K25" s="21">
        <f>K98</f>
        <v>0</v>
      </c>
      <c r="L25" s="10"/>
      <c r="M25" s="4"/>
      <c r="N25" s="4"/>
      <c r="O25" s="4"/>
      <c r="P25" s="4"/>
      <c r="S25" s="1">
        <f>S98</f>
        <v>0</v>
      </c>
    </row>
    <row r="26" spans="1:19">
      <c r="A26" s="11"/>
      <c r="B26" s="5"/>
      <c r="C26" s="5"/>
      <c r="D26" s="5"/>
      <c r="E26" s="5"/>
      <c r="F26" s="5"/>
      <c r="G26" s="5"/>
      <c r="H26" s="5"/>
      <c r="I26" s="5"/>
      <c r="J26" s="5"/>
      <c r="K26" s="5"/>
      <c r="L26" s="12"/>
      <c r="M26" s="4"/>
      <c r="N26" s="4"/>
      <c r="O26" s="4"/>
      <c r="P26" s="4"/>
    </row>
    <row r="27" spans="1:19" ht="14.1" customHeight="1">
      <c r="A27" s="5"/>
      <c r="B27" s="289" t="s">
        <v>15</v>
      </c>
      <c r="C27" s="290"/>
      <c r="D27" s="5"/>
      <c r="E27" s="5"/>
      <c r="F27" s="5"/>
      <c r="G27" s="5"/>
      <c r="H27" s="5"/>
      <c r="I27" s="5"/>
      <c r="J27" s="5"/>
      <c r="K27" s="5"/>
      <c r="L27" s="5"/>
      <c r="M27" s="4"/>
      <c r="N27" s="4"/>
      <c r="O27" s="4"/>
      <c r="P27" s="4"/>
    </row>
    <row r="28" spans="1:19" ht="18" customHeight="1">
      <c r="A28" s="6"/>
      <c r="B28" s="273"/>
      <c r="C28" s="273"/>
      <c r="D28" s="7"/>
      <c r="E28" s="7"/>
      <c r="F28" s="7"/>
      <c r="G28" s="7"/>
      <c r="H28" s="7"/>
      <c r="I28" s="7"/>
      <c r="J28" s="7"/>
      <c r="K28" s="7"/>
      <c r="L28" s="8"/>
      <c r="M28" s="4"/>
      <c r="N28" s="4"/>
      <c r="O28" s="4"/>
      <c r="P28" s="4"/>
    </row>
    <row r="29" spans="1:19" ht="18" customHeight="1">
      <c r="A29" s="9"/>
      <c r="B29" s="17" t="s">
        <v>16</v>
      </c>
      <c r="C29" s="17" t="s">
        <v>11</v>
      </c>
      <c r="D29" s="17" t="s">
        <v>17</v>
      </c>
      <c r="E29" s="17" t="s">
        <v>12</v>
      </c>
      <c r="F29" s="18" t="s">
        <v>18</v>
      </c>
      <c r="G29" s="19" t="s">
        <v>19</v>
      </c>
      <c r="H29" s="19" t="s">
        <v>20</v>
      </c>
      <c r="I29" s="19" t="s">
        <v>13</v>
      </c>
      <c r="J29" s="18" t="s">
        <v>21</v>
      </c>
      <c r="K29" s="19" t="s">
        <v>14</v>
      </c>
      <c r="L29" s="10"/>
      <c r="M29" s="4"/>
      <c r="N29" s="4"/>
      <c r="O29" s="4"/>
      <c r="P29" s="4"/>
    </row>
    <row r="30" spans="1:19" ht="39.950000000000003" customHeight="1">
      <c r="A30" s="9"/>
      <c r="B30" s="288" t="s">
        <v>42</v>
      </c>
      <c r="C30" s="276"/>
      <c r="D30" s="276"/>
      <c r="E30" s="276"/>
      <c r="F30" s="276"/>
      <c r="G30" s="276"/>
      <c r="H30" s="286"/>
      <c r="I30" s="276"/>
      <c r="J30" s="286"/>
      <c r="K30" s="276"/>
      <c r="L30" s="10"/>
      <c r="M30" s="4"/>
      <c r="N30" s="4"/>
      <c r="O30" s="4"/>
      <c r="P30" s="4"/>
    </row>
    <row r="31" spans="1:19">
      <c r="A31" s="9"/>
      <c r="B31" s="22">
        <v>17</v>
      </c>
      <c r="C31" s="23" t="s">
        <v>402</v>
      </c>
      <c r="D31" s="23" t="s">
        <v>25</v>
      </c>
      <c r="E31" s="23" t="s">
        <v>403</v>
      </c>
      <c r="F31" s="24" t="s">
        <v>400</v>
      </c>
      <c r="G31" s="25">
        <f>ROUND(1,3)</f>
        <v>1</v>
      </c>
      <c r="H31" s="40">
        <f>ROUND(0,2)</f>
        <v>0</v>
      </c>
      <c r="I31" s="26">
        <f>ROUND(H31*G31,2)</f>
        <v>0</v>
      </c>
      <c r="J31" s="45" t="s">
        <v>25</v>
      </c>
      <c r="K31" s="26">
        <f>IF(ISNUMBER(J31),ROUND(I31*(J31+1),2),0)</f>
        <v>0</v>
      </c>
      <c r="L31" s="10"/>
      <c r="M31" s="4"/>
      <c r="N31" s="4"/>
      <c r="O31" s="4"/>
      <c r="P31" s="4"/>
      <c r="Q31" s="1">
        <f>IF(ISNUMBER(J31),IF(G31&gt;0,IF(H31&gt;0,I31,0),0),0)</f>
        <v>0</v>
      </c>
      <c r="R31" s="1">
        <f>IF(ISNUMBER(J31)=FALSE,I31,0)</f>
        <v>0</v>
      </c>
    </row>
    <row r="32" spans="1:19">
      <c r="A32" s="9"/>
      <c r="B32" s="283" t="s">
        <v>27</v>
      </c>
      <c r="C32" s="276"/>
      <c r="D32" s="276"/>
      <c r="E32" s="27" t="s">
        <v>404</v>
      </c>
      <c r="F32" s="3"/>
      <c r="G32" s="3"/>
      <c r="H32" s="39"/>
      <c r="I32" s="3"/>
      <c r="J32" s="39"/>
      <c r="K32" s="3"/>
      <c r="L32" s="10"/>
      <c r="M32" s="4"/>
      <c r="N32" s="4"/>
      <c r="O32" s="4"/>
      <c r="P32" s="4"/>
    </row>
    <row r="33" spans="1:19" ht="13.5" thickBot="1">
      <c r="A33" s="9"/>
      <c r="B33" s="281" t="s">
        <v>28</v>
      </c>
      <c r="C33" s="282"/>
      <c r="D33" s="282"/>
      <c r="E33" s="29" t="s">
        <v>397</v>
      </c>
      <c r="F33" s="28"/>
      <c r="G33" s="28"/>
      <c r="H33" s="41"/>
      <c r="I33" s="28"/>
      <c r="J33" s="41"/>
      <c r="K33" s="28"/>
      <c r="L33" s="10"/>
      <c r="M33" s="4"/>
      <c r="N33" s="4"/>
      <c r="O33" s="4"/>
      <c r="P33" s="4"/>
    </row>
    <row r="34" spans="1:19" ht="13.5" thickTop="1">
      <c r="A34" s="9"/>
      <c r="B34" s="22">
        <v>18</v>
      </c>
      <c r="C34" s="23" t="s">
        <v>405</v>
      </c>
      <c r="D34" s="23" t="s">
        <v>25</v>
      </c>
      <c r="E34" s="23" t="s">
        <v>406</v>
      </c>
      <c r="F34" s="24" t="s">
        <v>40</v>
      </c>
      <c r="G34" s="30">
        <f>ROUND(1,3)</f>
        <v>1</v>
      </c>
      <c r="H34" s="42">
        <f>ROUND(0,2)</f>
        <v>0</v>
      </c>
      <c r="I34" s="31">
        <f>ROUND(H34*G34,2)</f>
        <v>0</v>
      </c>
      <c r="J34" s="46" t="s">
        <v>25</v>
      </c>
      <c r="K34" s="31">
        <f>IF(ISNUMBER(J34),ROUND(I34*(J34+1),2),0)</f>
        <v>0</v>
      </c>
      <c r="L34" s="10"/>
      <c r="M34" s="4"/>
      <c r="N34" s="4"/>
      <c r="O34" s="4"/>
      <c r="P34" s="4"/>
      <c r="Q34" s="1">
        <f>IF(ISNUMBER(J34),IF(G34&gt;0,IF(H34&gt;0,I34,0),0),0)</f>
        <v>0</v>
      </c>
      <c r="R34" s="1">
        <f>IF(ISNUMBER(J34)=FALSE,I34,0)</f>
        <v>0</v>
      </c>
    </row>
    <row r="35" spans="1:19">
      <c r="A35" s="9"/>
      <c r="B35" s="283" t="s">
        <v>27</v>
      </c>
      <c r="C35" s="276"/>
      <c r="D35" s="276"/>
      <c r="E35" s="27" t="s">
        <v>407</v>
      </c>
      <c r="F35" s="3"/>
      <c r="G35" s="3"/>
      <c r="H35" s="39"/>
      <c r="I35" s="3"/>
      <c r="J35" s="39"/>
      <c r="K35" s="3"/>
      <c r="L35" s="10"/>
      <c r="M35" s="4"/>
      <c r="N35" s="4"/>
      <c r="O35" s="4"/>
      <c r="P35" s="4"/>
    </row>
    <row r="36" spans="1:19" ht="13.5" thickBot="1">
      <c r="A36" s="9"/>
      <c r="B36" s="281" t="s">
        <v>28</v>
      </c>
      <c r="C36" s="282"/>
      <c r="D36" s="282"/>
      <c r="E36" s="29" t="s">
        <v>397</v>
      </c>
      <c r="F36" s="28"/>
      <c r="G36" s="28"/>
      <c r="H36" s="41"/>
      <c r="I36" s="28"/>
      <c r="J36" s="41"/>
      <c r="K36" s="28"/>
      <c r="L36" s="10"/>
      <c r="M36" s="4"/>
      <c r="N36" s="4"/>
      <c r="O36" s="4"/>
      <c r="P36" s="4"/>
    </row>
    <row r="37" spans="1:19" ht="13.5" thickTop="1">
      <c r="A37" s="9"/>
      <c r="B37" s="22">
        <v>19</v>
      </c>
      <c r="C37" s="23" t="s">
        <v>408</v>
      </c>
      <c r="D37" s="23" t="s">
        <v>25</v>
      </c>
      <c r="E37" s="23" t="s">
        <v>229</v>
      </c>
      <c r="F37" s="24" t="s">
        <v>40</v>
      </c>
      <c r="G37" s="30">
        <f>ROUND(1,3)</f>
        <v>1</v>
      </c>
      <c r="H37" s="42">
        <f>ROUND(0,2)</f>
        <v>0</v>
      </c>
      <c r="I37" s="31">
        <f>ROUND(H37*G37,2)</f>
        <v>0</v>
      </c>
      <c r="J37" s="46" t="s">
        <v>25</v>
      </c>
      <c r="K37" s="31">
        <f>IF(ISNUMBER(J37),ROUND(I37*(J37+1),2),0)</f>
        <v>0</v>
      </c>
      <c r="L37" s="10"/>
      <c r="M37" s="4"/>
      <c r="N37" s="4"/>
      <c r="O37" s="4"/>
      <c r="P37" s="4"/>
      <c r="Q37" s="1">
        <f>IF(ISNUMBER(J37),IF(G37&gt;0,IF(H37&gt;0,I37,0),0),0)</f>
        <v>0</v>
      </c>
      <c r="R37" s="1">
        <f>IF(ISNUMBER(J37)=FALSE,I37,0)</f>
        <v>0</v>
      </c>
    </row>
    <row r="38" spans="1:19">
      <c r="A38" s="9"/>
      <c r="B38" s="283" t="s">
        <v>27</v>
      </c>
      <c r="C38" s="276"/>
      <c r="D38" s="276"/>
      <c r="E38" s="27" t="s">
        <v>25</v>
      </c>
      <c r="F38" s="3"/>
      <c r="G38" s="3"/>
      <c r="H38" s="39"/>
      <c r="I38" s="3"/>
      <c r="J38" s="39"/>
      <c r="K38" s="3"/>
      <c r="L38" s="10"/>
      <c r="M38" s="4"/>
      <c r="N38" s="4"/>
      <c r="O38" s="4"/>
      <c r="P38" s="4"/>
    </row>
    <row r="39" spans="1:19" ht="13.5" thickBot="1">
      <c r="A39" s="9"/>
      <c r="B39" s="281" t="s">
        <v>28</v>
      </c>
      <c r="C39" s="282"/>
      <c r="D39" s="282"/>
      <c r="E39" s="29" t="s">
        <v>397</v>
      </c>
      <c r="F39" s="28"/>
      <c r="G39" s="28"/>
      <c r="H39" s="41"/>
      <c r="I39" s="28"/>
      <c r="J39" s="41"/>
      <c r="K39" s="28"/>
      <c r="L39" s="10"/>
      <c r="M39" s="4"/>
      <c r="N39" s="4"/>
      <c r="O39" s="4"/>
      <c r="P39" s="4"/>
    </row>
    <row r="40" spans="1:19" ht="24.95" customHeight="1" thickTop="1" thickBot="1">
      <c r="A40" s="9"/>
      <c r="B40" s="32"/>
      <c r="C40" s="33">
        <v>0</v>
      </c>
      <c r="D40" s="32"/>
      <c r="E40" s="34" t="s">
        <v>43</v>
      </c>
      <c r="F40" s="35" t="s">
        <v>44</v>
      </c>
      <c r="G40" s="36">
        <f>I31+I34+I37</f>
        <v>0</v>
      </c>
      <c r="H40" s="43" t="s">
        <v>45</v>
      </c>
      <c r="I40" s="37">
        <f>IF(COUNT(J31:J40)&gt;0,AVERAGE(J31:J40),0.21)</f>
        <v>0.21</v>
      </c>
      <c r="J40" s="43" t="s">
        <v>46</v>
      </c>
      <c r="K40" s="36">
        <f>ROUND(Q40*(1+I40),2)+R40</f>
        <v>0</v>
      </c>
      <c r="L40" s="10"/>
      <c r="M40" s="4"/>
      <c r="N40" s="4"/>
      <c r="O40" s="4"/>
      <c r="P40" s="4"/>
      <c r="Q40" s="1">
        <f>0+Q31+Q34+Q37</f>
        <v>0</v>
      </c>
      <c r="R40" s="1">
        <f>0+R31+R34+R37</f>
        <v>0</v>
      </c>
      <c r="S40" s="2">
        <f>Q40*(1+I40)+R40</f>
        <v>0</v>
      </c>
    </row>
    <row r="41" spans="1:19" ht="39.950000000000003" customHeight="1">
      <c r="A41" s="9"/>
      <c r="B41" s="284" t="s">
        <v>417</v>
      </c>
      <c r="C41" s="276"/>
      <c r="D41" s="276"/>
      <c r="E41" s="285"/>
      <c r="F41" s="276"/>
      <c r="G41" s="276"/>
      <c r="H41" s="286"/>
      <c r="I41" s="276"/>
      <c r="J41" s="286"/>
      <c r="K41" s="276"/>
      <c r="L41" s="10"/>
      <c r="M41" s="4"/>
      <c r="N41" s="4"/>
      <c r="O41" s="4"/>
      <c r="P41" s="4"/>
    </row>
    <row r="42" spans="1:19">
      <c r="A42" s="9"/>
      <c r="B42" s="22">
        <v>15</v>
      </c>
      <c r="C42" s="23" t="s">
        <v>409</v>
      </c>
      <c r="D42" s="23" t="s">
        <v>25</v>
      </c>
      <c r="E42" s="23" t="s">
        <v>410</v>
      </c>
      <c r="F42" s="24" t="s">
        <v>24</v>
      </c>
      <c r="G42" s="25">
        <f>ROUND(41.916,3)</f>
        <v>41.915999999999997</v>
      </c>
      <c r="H42" s="40">
        <f>ROUND(0,2)</f>
        <v>0</v>
      </c>
      <c r="I42" s="26">
        <f>ROUND(H42*G42,2)</f>
        <v>0</v>
      </c>
      <c r="J42" s="45" t="s">
        <v>25</v>
      </c>
      <c r="K42" s="26">
        <f>IF(ISNUMBER(J42),ROUND(I42*(J42+1),2),0)</f>
        <v>0</v>
      </c>
      <c r="L42" s="10"/>
      <c r="M42" s="4"/>
      <c r="N42" s="4"/>
      <c r="O42" s="4"/>
      <c r="P42" s="4"/>
      <c r="Q42" s="1">
        <f>IF(ISNUMBER(J42),IF(G42&gt;0,IF(H42&gt;0,I42,0),0),0)</f>
        <v>0</v>
      </c>
      <c r="R42" s="1">
        <f>IF(ISNUMBER(J42)=FALSE,I42,0)</f>
        <v>0</v>
      </c>
    </row>
    <row r="43" spans="1:19">
      <c r="A43" s="9"/>
      <c r="B43" s="283" t="s">
        <v>27</v>
      </c>
      <c r="C43" s="276"/>
      <c r="D43" s="276"/>
      <c r="E43" s="27" t="s">
        <v>411</v>
      </c>
      <c r="F43" s="3"/>
      <c r="G43" s="3"/>
      <c r="H43" s="39"/>
      <c r="I43" s="3"/>
      <c r="J43" s="39"/>
      <c r="K43" s="3"/>
      <c r="L43" s="10"/>
      <c r="M43" s="4"/>
      <c r="N43" s="4"/>
      <c r="O43" s="4"/>
      <c r="P43" s="4"/>
    </row>
    <row r="44" spans="1:19" ht="13.5" thickBot="1">
      <c r="A44" s="9"/>
      <c r="B44" s="281" t="s">
        <v>28</v>
      </c>
      <c r="C44" s="282"/>
      <c r="D44" s="282"/>
      <c r="E44" s="29" t="s">
        <v>412</v>
      </c>
      <c r="F44" s="28"/>
      <c r="G44" s="28"/>
      <c r="H44" s="41"/>
      <c r="I44" s="28"/>
      <c r="J44" s="41"/>
      <c r="K44" s="28"/>
      <c r="L44" s="10"/>
      <c r="M44" s="4"/>
      <c r="N44" s="4"/>
      <c r="O44" s="4"/>
      <c r="P44" s="4"/>
    </row>
    <row r="45" spans="1:19" ht="13.5" thickTop="1">
      <c r="A45" s="9"/>
      <c r="B45" s="22">
        <v>16</v>
      </c>
      <c r="C45" s="23" t="s">
        <v>413</v>
      </c>
      <c r="D45" s="23" t="s">
        <v>25</v>
      </c>
      <c r="E45" s="23" t="s">
        <v>414</v>
      </c>
      <c r="F45" s="24" t="s">
        <v>24</v>
      </c>
      <c r="G45" s="30">
        <f>ROUND(0.114,3)</f>
        <v>0.114</v>
      </c>
      <c r="H45" s="42">
        <f>ROUND(0,2)</f>
        <v>0</v>
      </c>
      <c r="I45" s="31">
        <f>ROUND(H45*G45,2)</f>
        <v>0</v>
      </c>
      <c r="J45" s="46" t="s">
        <v>25</v>
      </c>
      <c r="K45" s="31">
        <f>IF(ISNUMBER(J45),ROUND(I45*(J45+1),2),0)</f>
        <v>0</v>
      </c>
      <c r="L45" s="10"/>
      <c r="M45" s="4"/>
      <c r="N45" s="4"/>
      <c r="O45" s="4"/>
      <c r="P45" s="4"/>
      <c r="Q45" s="1">
        <f>IF(ISNUMBER(J45),IF(G45&gt;0,IF(H45&gt;0,I45,0),0),0)</f>
        <v>0</v>
      </c>
      <c r="R45" s="1">
        <f>IF(ISNUMBER(J45)=FALSE,I45,0)</f>
        <v>0</v>
      </c>
    </row>
    <row r="46" spans="1:19">
      <c r="A46" s="9"/>
      <c r="B46" s="283" t="s">
        <v>27</v>
      </c>
      <c r="C46" s="276"/>
      <c r="D46" s="276"/>
      <c r="E46" s="27" t="s">
        <v>415</v>
      </c>
      <c r="F46" s="3"/>
      <c r="G46" s="3"/>
      <c r="H46" s="39"/>
      <c r="I46" s="3"/>
      <c r="J46" s="39"/>
      <c r="K46" s="3"/>
      <c r="L46" s="10"/>
      <c r="M46" s="4"/>
      <c r="N46" s="4"/>
      <c r="O46" s="4"/>
      <c r="P46" s="4"/>
    </row>
    <row r="47" spans="1:19" ht="13.5" thickBot="1">
      <c r="A47" s="9"/>
      <c r="B47" s="281" t="s">
        <v>28</v>
      </c>
      <c r="C47" s="282"/>
      <c r="D47" s="282"/>
      <c r="E47" s="29" t="s">
        <v>416</v>
      </c>
      <c r="F47" s="28"/>
      <c r="G47" s="28"/>
      <c r="H47" s="41"/>
      <c r="I47" s="28"/>
      <c r="J47" s="41"/>
      <c r="K47" s="28"/>
      <c r="L47" s="10"/>
      <c r="M47" s="4"/>
      <c r="N47" s="4"/>
      <c r="O47" s="4"/>
      <c r="P47" s="4"/>
    </row>
    <row r="48" spans="1:19" ht="24.95" customHeight="1" thickTop="1" thickBot="1">
      <c r="A48" s="9"/>
      <c r="B48" s="32"/>
      <c r="C48" s="33">
        <v>15</v>
      </c>
      <c r="D48" s="32"/>
      <c r="E48" s="34" t="s">
        <v>418</v>
      </c>
      <c r="F48" s="35" t="s">
        <v>44</v>
      </c>
      <c r="G48" s="36">
        <f>I42+I45</f>
        <v>0</v>
      </c>
      <c r="H48" s="43" t="s">
        <v>45</v>
      </c>
      <c r="I48" s="37">
        <f>IF(COUNT(J42:J48)&gt;0,AVERAGE(J42:J48),0.21)</f>
        <v>0.21</v>
      </c>
      <c r="J48" s="43" t="s">
        <v>46</v>
      </c>
      <c r="K48" s="36">
        <f>ROUND(Q48*(1+I48),2)+R48</f>
        <v>0</v>
      </c>
      <c r="L48" s="10"/>
      <c r="M48" s="4"/>
      <c r="N48" s="4"/>
      <c r="O48" s="4"/>
      <c r="P48" s="4"/>
      <c r="Q48" s="1">
        <f>0+Q42+Q45</f>
        <v>0</v>
      </c>
      <c r="R48" s="1">
        <f>0+R42+R45</f>
        <v>0</v>
      </c>
      <c r="S48" s="2">
        <f>Q48*(1+I48)+R48</f>
        <v>0</v>
      </c>
    </row>
    <row r="49" spans="1:18" ht="39.950000000000003" customHeight="1">
      <c r="A49" s="9"/>
      <c r="B49" s="284" t="s">
        <v>71</v>
      </c>
      <c r="C49" s="276"/>
      <c r="D49" s="276"/>
      <c r="E49" s="285"/>
      <c r="F49" s="276"/>
      <c r="G49" s="276"/>
      <c r="H49" s="286"/>
      <c r="I49" s="276"/>
      <c r="J49" s="286"/>
      <c r="K49" s="276"/>
      <c r="L49" s="10"/>
      <c r="M49" s="4"/>
      <c r="N49" s="4"/>
      <c r="O49" s="4"/>
      <c r="P49" s="4"/>
    </row>
    <row r="50" spans="1:18">
      <c r="A50" s="9"/>
      <c r="B50" s="22">
        <v>1</v>
      </c>
      <c r="C50" s="23" t="s">
        <v>419</v>
      </c>
      <c r="D50" s="23" t="s">
        <v>25</v>
      </c>
      <c r="E50" s="23" t="s">
        <v>420</v>
      </c>
      <c r="F50" s="24" t="s">
        <v>57</v>
      </c>
      <c r="G50" s="25">
        <f>ROUND(89.77,3)</f>
        <v>89.77</v>
      </c>
      <c r="H50" s="40">
        <f>ROUND(0,2)</f>
        <v>0</v>
      </c>
      <c r="I50" s="26">
        <f>ROUND(H50*G50,2)</f>
        <v>0</v>
      </c>
      <c r="J50" s="45" t="s">
        <v>25</v>
      </c>
      <c r="K50" s="26">
        <f>IF(ISNUMBER(J50),ROUND(I50*(J50+1),2),0)</f>
        <v>0</v>
      </c>
      <c r="L50" s="10"/>
      <c r="M50" s="4"/>
      <c r="N50" s="4"/>
      <c r="O50" s="4"/>
      <c r="P50" s="4"/>
      <c r="Q50" s="1">
        <f>IF(ISNUMBER(J50),IF(G50&gt;0,IF(H50&gt;0,I50,0),0),0)</f>
        <v>0</v>
      </c>
      <c r="R50" s="1">
        <f>IF(ISNUMBER(J50)=FALSE,I50,0)</f>
        <v>0</v>
      </c>
    </row>
    <row r="51" spans="1:18" ht="25.5">
      <c r="A51" s="9"/>
      <c r="B51" s="283" t="s">
        <v>27</v>
      </c>
      <c r="C51" s="276"/>
      <c r="D51" s="276"/>
      <c r="E51" s="27" t="s">
        <v>421</v>
      </c>
      <c r="F51" s="3"/>
      <c r="G51" s="3"/>
      <c r="H51" s="39"/>
      <c r="I51" s="3"/>
      <c r="J51" s="39"/>
      <c r="K51" s="3"/>
      <c r="L51" s="10"/>
      <c r="M51" s="4"/>
      <c r="N51" s="4"/>
      <c r="O51" s="4"/>
      <c r="P51" s="4"/>
    </row>
    <row r="52" spans="1:18" ht="13.5" thickBot="1">
      <c r="A52" s="9"/>
      <c r="B52" s="281" t="s">
        <v>28</v>
      </c>
      <c r="C52" s="282"/>
      <c r="D52" s="282"/>
      <c r="E52" s="29" t="s">
        <v>422</v>
      </c>
      <c r="F52" s="28"/>
      <c r="G52" s="28"/>
      <c r="H52" s="41"/>
      <c r="I52" s="28"/>
      <c r="J52" s="41"/>
      <c r="K52" s="28"/>
      <c r="L52" s="10"/>
      <c r="M52" s="4"/>
      <c r="N52" s="4"/>
      <c r="O52" s="4"/>
      <c r="P52" s="4"/>
    </row>
    <row r="53" spans="1:18" ht="13.5" thickTop="1">
      <c r="A53" s="9"/>
      <c r="B53" s="22">
        <v>2</v>
      </c>
      <c r="C53" s="23" t="s">
        <v>423</v>
      </c>
      <c r="D53" s="23" t="s">
        <v>25</v>
      </c>
      <c r="E53" s="23" t="s">
        <v>424</v>
      </c>
      <c r="F53" s="24" t="s">
        <v>425</v>
      </c>
      <c r="G53" s="30">
        <f>ROUND(199.6,3)</f>
        <v>199.6</v>
      </c>
      <c r="H53" s="42">
        <f>ROUND(0,2)</f>
        <v>0</v>
      </c>
      <c r="I53" s="31">
        <f>ROUND(H53*G53,2)</f>
        <v>0</v>
      </c>
      <c r="J53" s="46" t="s">
        <v>25</v>
      </c>
      <c r="K53" s="31">
        <f>IF(ISNUMBER(J53),ROUND(I53*(J53+1),2),0)</f>
        <v>0</v>
      </c>
      <c r="L53" s="10"/>
      <c r="M53" s="4"/>
      <c r="N53" s="4"/>
      <c r="O53" s="4"/>
      <c r="P53" s="4"/>
      <c r="Q53" s="1">
        <f>IF(ISNUMBER(J53),IF(G53&gt;0,IF(H53&gt;0,I53,0),0),0)</f>
        <v>0</v>
      </c>
      <c r="R53" s="1">
        <f>IF(ISNUMBER(J53)=FALSE,I53,0)</f>
        <v>0</v>
      </c>
    </row>
    <row r="54" spans="1:18">
      <c r="A54" s="9"/>
      <c r="B54" s="283" t="s">
        <v>27</v>
      </c>
      <c r="C54" s="276"/>
      <c r="D54" s="276"/>
      <c r="E54" s="27" t="s">
        <v>426</v>
      </c>
      <c r="F54" s="3"/>
      <c r="G54" s="3"/>
      <c r="H54" s="39"/>
      <c r="I54" s="3"/>
      <c r="J54" s="39"/>
      <c r="K54" s="3"/>
      <c r="L54" s="10"/>
      <c r="M54" s="4"/>
      <c r="N54" s="4"/>
      <c r="O54" s="4"/>
      <c r="P54" s="4"/>
    </row>
    <row r="55" spans="1:18" ht="13.5" thickBot="1">
      <c r="A55" s="9"/>
      <c r="B55" s="281" t="s">
        <v>28</v>
      </c>
      <c r="C55" s="282"/>
      <c r="D55" s="282"/>
      <c r="E55" s="29" t="s">
        <v>427</v>
      </c>
      <c r="F55" s="28"/>
      <c r="G55" s="28"/>
      <c r="H55" s="41"/>
      <c r="I55" s="28"/>
      <c r="J55" s="41"/>
      <c r="K55" s="28"/>
      <c r="L55" s="10"/>
      <c r="M55" s="4"/>
      <c r="N55" s="4"/>
      <c r="O55" s="4"/>
      <c r="P55" s="4"/>
    </row>
    <row r="56" spans="1:18" ht="13.5" thickTop="1">
      <c r="A56" s="9"/>
      <c r="B56" s="22">
        <v>3</v>
      </c>
      <c r="C56" s="23" t="s">
        <v>242</v>
      </c>
      <c r="D56" s="23" t="s">
        <v>25</v>
      </c>
      <c r="E56" s="23" t="s">
        <v>243</v>
      </c>
      <c r="F56" s="24" t="s">
        <v>57</v>
      </c>
      <c r="G56" s="30">
        <f>ROUND(19.96,3)</f>
        <v>19.96</v>
      </c>
      <c r="H56" s="42">
        <f>ROUND(0,2)</f>
        <v>0</v>
      </c>
      <c r="I56" s="31">
        <f>ROUND(H56*G56,2)</f>
        <v>0</v>
      </c>
      <c r="J56" s="46" t="s">
        <v>25</v>
      </c>
      <c r="K56" s="31">
        <f>IF(ISNUMBER(J56),ROUND(I56*(J56+1),2),0)</f>
        <v>0</v>
      </c>
      <c r="L56" s="10"/>
      <c r="M56" s="4"/>
      <c r="N56" s="4"/>
      <c r="O56" s="4"/>
      <c r="P56" s="4"/>
      <c r="Q56" s="1">
        <f>IF(ISNUMBER(J56),IF(G56&gt;0,IF(H56&gt;0,I56,0),0),0)</f>
        <v>0</v>
      </c>
      <c r="R56" s="1">
        <f>IF(ISNUMBER(J56)=FALSE,I56,0)</f>
        <v>0</v>
      </c>
    </row>
    <row r="57" spans="1:18">
      <c r="A57" s="9"/>
      <c r="B57" s="283" t="s">
        <v>27</v>
      </c>
      <c r="C57" s="276"/>
      <c r="D57" s="276"/>
      <c r="E57" s="27" t="s">
        <v>428</v>
      </c>
      <c r="F57" s="3"/>
      <c r="G57" s="3"/>
      <c r="H57" s="39"/>
      <c r="I57" s="3"/>
      <c r="J57" s="39"/>
      <c r="K57" s="3"/>
      <c r="L57" s="10"/>
      <c r="M57" s="4"/>
      <c r="N57" s="4"/>
      <c r="O57" s="4"/>
      <c r="P57" s="4"/>
    </row>
    <row r="58" spans="1:18" ht="13.5" thickBot="1">
      <c r="A58" s="9"/>
      <c r="B58" s="281" t="s">
        <v>28</v>
      </c>
      <c r="C58" s="282"/>
      <c r="D58" s="282"/>
      <c r="E58" s="29" t="s">
        <v>429</v>
      </c>
      <c r="F58" s="28"/>
      <c r="G58" s="28"/>
      <c r="H58" s="41"/>
      <c r="I58" s="28"/>
      <c r="J58" s="41"/>
      <c r="K58" s="28"/>
      <c r="L58" s="10"/>
      <c r="M58" s="4"/>
      <c r="N58" s="4"/>
      <c r="O58" s="4"/>
      <c r="P58" s="4"/>
    </row>
    <row r="59" spans="1:18" ht="13.5" thickTop="1">
      <c r="A59" s="9"/>
      <c r="B59" s="22">
        <v>4</v>
      </c>
      <c r="C59" s="23" t="s">
        <v>430</v>
      </c>
      <c r="D59" s="23" t="s">
        <v>25</v>
      </c>
      <c r="E59" s="23" t="s">
        <v>431</v>
      </c>
      <c r="F59" s="24" t="s">
        <v>57</v>
      </c>
      <c r="G59" s="30">
        <f>ROUND(69.81,3)</f>
        <v>69.81</v>
      </c>
      <c r="H59" s="42">
        <f>ROUND(0,2)</f>
        <v>0</v>
      </c>
      <c r="I59" s="31">
        <f>ROUND(H59*G59,2)</f>
        <v>0</v>
      </c>
      <c r="J59" s="46" t="s">
        <v>25</v>
      </c>
      <c r="K59" s="31">
        <f>IF(ISNUMBER(J59),ROUND(I59*(J59+1),2),0)</f>
        <v>0</v>
      </c>
      <c r="L59" s="10"/>
      <c r="M59" s="4"/>
      <c r="N59" s="4"/>
      <c r="O59" s="4"/>
      <c r="P59" s="4"/>
      <c r="Q59" s="1">
        <f>IF(ISNUMBER(J59),IF(G59&gt;0,IF(H59&gt;0,I59,0),0),0)</f>
        <v>0</v>
      </c>
      <c r="R59" s="1">
        <f>IF(ISNUMBER(J59)=FALSE,I59,0)</f>
        <v>0</v>
      </c>
    </row>
    <row r="60" spans="1:18">
      <c r="A60" s="9"/>
      <c r="B60" s="283" t="s">
        <v>27</v>
      </c>
      <c r="C60" s="276"/>
      <c r="D60" s="276"/>
      <c r="E60" s="27" t="s">
        <v>432</v>
      </c>
      <c r="F60" s="3"/>
      <c r="G60" s="3"/>
      <c r="H60" s="39"/>
      <c r="I60" s="3"/>
      <c r="J60" s="39"/>
      <c r="K60" s="3"/>
      <c r="L60" s="10"/>
      <c r="M60" s="4"/>
      <c r="N60" s="4"/>
      <c r="O60" s="4"/>
      <c r="P60" s="4"/>
    </row>
    <row r="61" spans="1:18" ht="13.5" thickBot="1">
      <c r="A61" s="9"/>
      <c r="B61" s="281" t="s">
        <v>28</v>
      </c>
      <c r="C61" s="282"/>
      <c r="D61" s="282"/>
      <c r="E61" s="29" t="s">
        <v>433</v>
      </c>
      <c r="F61" s="28"/>
      <c r="G61" s="28"/>
      <c r="H61" s="41"/>
      <c r="I61" s="28"/>
      <c r="J61" s="41"/>
      <c r="K61" s="28"/>
      <c r="L61" s="10"/>
      <c r="M61" s="4"/>
      <c r="N61" s="4"/>
      <c r="O61" s="4"/>
      <c r="P61" s="4"/>
    </row>
    <row r="62" spans="1:18" ht="13.5" thickTop="1">
      <c r="A62" s="9"/>
      <c r="B62" s="22">
        <v>5</v>
      </c>
      <c r="C62" s="23" t="s">
        <v>434</v>
      </c>
      <c r="D62" s="23" t="s">
        <v>25</v>
      </c>
      <c r="E62" s="23" t="s">
        <v>435</v>
      </c>
      <c r="F62" s="24" t="s">
        <v>57</v>
      </c>
      <c r="G62" s="30">
        <f>ROUND(15.41,3)</f>
        <v>15.41</v>
      </c>
      <c r="H62" s="42">
        <f>ROUND(0,2)</f>
        <v>0</v>
      </c>
      <c r="I62" s="31">
        <f>ROUND(H62*G62,2)</f>
        <v>0</v>
      </c>
      <c r="J62" s="46" t="s">
        <v>25</v>
      </c>
      <c r="K62" s="31">
        <f>IF(ISNUMBER(J62),ROUND(I62*(J62+1),2),0)</f>
        <v>0</v>
      </c>
      <c r="L62" s="10"/>
      <c r="M62" s="4"/>
      <c r="N62" s="4"/>
      <c r="O62" s="4"/>
      <c r="P62" s="4"/>
      <c r="Q62" s="1">
        <f>IF(ISNUMBER(J62),IF(G62&gt;0,IF(H62&gt;0,I62,0),0),0)</f>
        <v>0</v>
      </c>
      <c r="R62" s="1">
        <f>IF(ISNUMBER(J62)=FALSE,I62,0)</f>
        <v>0</v>
      </c>
    </row>
    <row r="63" spans="1:18">
      <c r="A63" s="9"/>
      <c r="B63" s="283" t="s">
        <v>27</v>
      </c>
      <c r="C63" s="276"/>
      <c r="D63" s="276"/>
      <c r="E63" s="27" t="s">
        <v>436</v>
      </c>
      <c r="F63" s="3"/>
      <c r="G63" s="3"/>
      <c r="H63" s="39"/>
      <c r="I63" s="3"/>
      <c r="J63" s="39"/>
      <c r="K63" s="3"/>
      <c r="L63" s="10"/>
      <c r="M63" s="4"/>
      <c r="N63" s="4"/>
      <c r="O63" s="4"/>
      <c r="P63" s="4"/>
    </row>
    <row r="64" spans="1:18" ht="13.5" thickBot="1">
      <c r="A64" s="9"/>
      <c r="B64" s="281" t="s">
        <v>28</v>
      </c>
      <c r="C64" s="282"/>
      <c r="D64" s="282"/>
      <c r="E64" s="29" t="s">
        <v>437</v>
      </c>
      <c r="F64" s="28"/>
      <c r="G64" s="28"/>
      <c r="H64" s="41"/>
      <c r="I64" s="28"/>
      <c r="J64" s="41"/>
      <c r="K64" s="28"/>
      <c r="L64" s="10"/>
      <c r="M64" s="4"/>
      <c r="N64" s="4"/>
      <c r="O64" s="4"/>
      <c r="P64" s="4"/>
    </row>
    <row r="65" spans="1:19" ht="24.95" customHeight="1" thickTop="1" thickBot="1">
      <c r="A65" s="9"/>
      <c r="B65" s="32"/>
      <c r="C65" s="33">
        <v>1</v>
      </c>
      <c r="D65" s="32"/>
      <c r="E65" s="34" t="s">
        <v>72</v>
      </c>
      <c r="F65" s="35" t="s">
        <v>44</v>
      </c>
      <c r="G65" s="36">
        <f>I50+I53+I56+I59+I62</f>
        <v>0</v>
      </c>
      <c r="H65" s="43" t="s">
        <v>45</v>
      </c>
      <c r="I65" s="37">
        <f>IF(COUNT(J50:J65)&gt;0,AVERAGE(J50:J65),0.21)</f>
        <v>0.21</v>
      </c>
      <c r="J65" s="43" t="s">
        <v>46</v>
      </c>
      <c r="K65" s="36">
        <f>ROUND(Q65*(1+I65),2)+R65</f>
        <v>0</v>
      </c>
      <c r="L65" s="10"/>
      <c r="M65" s="4"/>
      <c r="N65" s="4"/>
      <c r="O65" s="4"/>
      <c r="P65" s="4"/>
      <c r="Q65" s="1">
        <f>0+Q50+Q53+Q56+Q59+Q62</f>
        <v>0</v>
      </c>
      <c r="R65" s="1">
        <f>0+R50+R53+R56+R59+R62</f>
        <v>0</v>
      </c>
      <c r="S65" s="2">
        <f>Q65*(1+I65)+R65</f>
        <v>0</v>
      </c>
    </row>
    <row r="66" spans="1:19" ht="39.950000000000003" customHeight="1">
      <c r="A66" s="9"/>
      <c r="B66" s="284" t="s">
        <v>121</v>
      </c>
      <c r="C66" s="276"/>
      <c r="D66" s="276"/>
      <c r="E66" s="285"/>
      <c r="F66" s="276"/>
      <c r="G66" s="276"/>
      <c r="H66" s="286"/>
      <c r="I66" s="276"/>
      <c r="J66" s="286"/>
      <c r="K66" s="276"/>
      <c r="L66" s="10"/>
      <c r="M66" s="4"/>
      <c r="N66" s="4"/>
      <c r="O66" s="4"/>
      <c r="P66" s="4"/>
    </row>
    <row r="67" spans="1:19">
      <c r="A67" s="9"/>
      <c r="B67" s="22">
        <v>6</v>
      </c>
      <c r="C67" s="23" t="s">
        <v>438</v>
      </c>
      <c r="D67" s="23" t="s">
        <v>25</v>
      </c>
      <c r="E67" s="23" t="s">
        <v>439</v>
      </c>
      <c r="F67" s="24" t="s">
        <v>57</v>
      </c>
      <c r="G67" s="25">
        <f>ROUND(4.22,3)</f>
        <v>4.22</v>
      </c>
      <c r="H67" s="40">
        <f>ROUND(0,2)</f>
        <v>0</v>
      </c>
      <c r="I67" s="26">
        <f>ROUND(H67*G67,2)</f>
        <v>0</v>
      </c>
      <c r="J67" s="45" t="s">
        <v>25</v>
      </c>
      <c r="K67" s="26">
        <f>IF(ISNUMBER(J67),ROUND(I67*(J67+1),2),0)</f>
        <v>0</v>
      </c>
      <c r="L67" s="10"/>
      <c r="M67" s="4"/>
      <c r="N67" s="4"/>
      <c r="O67" s="4"/>
      <c r="P67" s="4"/>
      <c r="Q67" s="1">
        <f>IF(ISNUMBER(J67),IF(G67&gt;0,IF(H67&gt;0,I67,0),0),0)</f>
        <v>0</v>
      </c>
      <c r="R67" s="1">
        <f>IF(ISNUMBER(J67)=FALSE,I67,0)</f>
        <v>0</v>
      </c>
    </row>
    <row r="68" spans="1:19">
      <c r="A68" s="9"/>
      <c r="B68" s="283" t="s">
        <v>27</v>
      </c>
      <c r="C68" s="276"/>
      <c r="D68" s="276"/>
      <c r="E68" s="27" t="s">
        <v>440</v>
      </c>
      <c r="F68" s="3"/>
      <c r="G68" s="3"/>
      <c r="H68" s="39"/>
      <c r="I68" s="3"/>
      <c r="J68" s="39"/>
      <c r="K68" s="3"/>
      <c r="L68" s="10"/>
      <c r="M68" s="4"/>
      <c r="N68" s="4"/>
      <c r="O68" s="4"/>
      <c r="P68" s="4"/>
    </row>
    <row r="69" spans="1:19" ht="13.5" thickBot="1">
      <c r="A69" s="9"/>
      <c r="B69" s="281" t="s">
        <v>28</v>
      </c>
      <c r="C69" s="282"/>
      <c r="D69" s="282"/>
      <c r="E69" s="29" t="s">
        <v>441</v>
      </c>
      <c r="F69" s="28"/>
      <c r="G69" s="28"/>
      <c r="H69" s="41"/>
      <c r="I69" s="28"/>
      <c r="J69" s="41"/>
      <c r="K69" s="28"/>
      <c r="L69" s="10"/>
      <c r="M69" s="4"/>
      <c r="N69" s="4"/>
      <c r="O69" s="4"/>
      <c r="P69" s="4"/>
    </row>
    <row r="70" spans="1:19" ht="24.95" customHeight="1" thickTop="1" thickBot="1">
      <c r="A70" s="9"/>
      <c r="B70" s="32"/>
      <c r="C70" s="33">
        <v>4</v>
      </c>
      <c r="D70" s="32"/>
      <c r="E70" s="34" t="s">
        <v>122</v>
      </c>
      <c r="F70" s="35" t="s">
        <v>44</v>
      </c>
      <c r="G70" s="36">
        <f>0+I67</f>
        <v>0</v>
      </c>
      <c r="H70" s="43" t="s">
        <v>45</v>
      </c>
      <c r="I70" s="37">
        <f>IF(COUNT(J67:J70)&gt;0,AVERAGE(J67:J70),0.21)</f>
        <v>0.21</v>
      </c>
      <c r="J70" s="43" t="s">
        <v>46</v>
      </c>
      <c r="K70" s="36">
        <f>ROUND(Q70*(1+I70),2)+R70</f>
        <v>0</v>
      </c>
      <c r="L70" s="10"/>
      <c r="M70" s="4"/>
      <c r="N70" s="4"/>
      <c r="O70" s="4"/>
      <c r="P70" s="4"/>
      <c r="Q70" s="1">
        <f>0+Q67</f>
        <v>0</v>
      </c>
      <c r="R70" s="1">
        <f>0+R67</f>
        <v>0</v>
      </c>
      <c r="S70" s="2">
        <f>Q70*(1+I70)+R70</f>
        <v>0</v>
      </c>
    </row>
    <row r="71" spans="1:19" ht="39.950000000000003" customHeight="1">
      <c r="A71" s="9"/>
      <c r="B71" s="284" t="s">
        <v>162</v>
      </c>
      <c r="C71" s="276"/>
      <c r="D71" s="276"/>
      <c r="E71" s="285"/>
      <c r="F71" s="276"/>
      <c r="G71" s="276"/>
      <c r="H71" s="286"/>
      <c r="I71" s="276"/>
      <c r="J71" s="286"/>
      <c r="K71" s="276"/>
      <c r="L71" s="10"/>
      <c r="M71" s="4"/>
      <c r="N71" s="4"/>
      <c r="O71" s="4"/>
      <c r="P71" s="4"/>
    </row>
    <row r="72" spans="1:19">
      <c r="A72" s="9"/>
      <c r="B72" s="22">
        <v>7</v>
      </c>
      <c r="C72" s="23" t="s">
        <v>442</v>
      </c>
      <c r="D72" s="23" t="s">
        <v>25</v>
      </c>
      <c r="E72" s="23" t="s">
        <v>443</v>
      </c>
      <c r="F72" s="24" t="s">
        <v>64</v>
      </c>
      <c r="G72" s="25">
        <f>ROUND(34.9,3)</f>
        <v>34.9</v>
      </c>
      <c r="H72" s="40">
        <f>ROUND(0,2)</f>
        <v>0</v>
      </c>
      <c r="I72" s="26">
        <f>ROUND(H72*G72,2)</f>
        <v>0</v>
      </c>
      <c r="J72" s="45" t="s">
        <v>25</v>
      </c>
      <c r="K72" s="26">
        <f>IF(ISNUMBER(J72),ROUND(I72*(J72+1),2),0)</f>
        <v>0</v>
      </c>
      <c r="L72" s="10"/>
      <c r="M72" s="4"/>
      <c r="N72" s="4"/>
      <c r="O72" s="4"/>
      <c r="P72" s="4"/>
      <c r="Q72" s="1">
        <f>IF(ISNUMBER(J72),IF(G72&gt;0,IF(H72&gt;0,I72,0),0),0)</f>
        <v>0</v>
      </c>
      <c r="R72" s="1">
        <f>IF(ISNUMBER(J72)=FALSE,I72,0)</f>
        <v>0</v>
      </c>
    </row>
    <row r="73" spans="1:19">
      <c r="A73" s="9"/>
      <c r="B73" s="283" t="s">
        <v>27</v>
      </c>
      <c r="C73" s="276"/>
      <c r="D73" s="276"/>
      <c r="E73" s="27" t="s">
        <v>444</v>
      </c>
      <c r="F73" s="3"/>
      <c r="G73" s="3"/>
      <c r="H73" s="39"/>
      <c r="I73" s="3"/>
      <c r="J73" s="39"/>
      <c r="K73" s="3"/>
      <c r="L73" s="10"/>
      <c r="M73" s="4"/>
      <c r="N73" s="4"/>
      <c r="O73" s="4"/>
      <c r="P73" s="4"/>
    </row>
    <row r="74" spans="1:19" ht="13.5" thickBot="1">
      <c r="A74" s="9"/>
      <c r="B74" s="281" t="s">
        <v>28</v>
      </c>
      <c r="C74" s="282"/>
      <c r="D74" s="282"/>
      <c r="E74" s="29" t="s">
        <v>445</v>
      </c>
      <c r="F74" s="28"/>
      <c r="G74" s="28"/>
      <c r="H74" s="41"/>
      <c r="I74" s="28"/>
      <c r="J74" s="41"/>
      <c r="K74" s="28"/>
      <c r="L74" s="10"/>
      <c r="M74" s="4"/>
      <c r="N74" s="4"/>
      <c r="O74" s="4"/>
      <c r="P74" s="4"/>
    </row>
    <row r="75" spans="1:19" ht="13.5" thickTop="1">
      <c r="A75" s="9"/>
      <c r="B75" s="22">
        <v>8</v>
      </c>
      <c r="C75" s="23" t="s">
        <v>446</v>
      </c>
      <c r="D75" s="23" t="s">
        <v>185</v>
      </c>
      <c r="E75" s="23" t="s">
        <v>447</v>
      </c>
      <c r="F75" s="24" t="s">
        <v>52</v>
      </c>
      <c r="G75" s="30">
        <f>ROUND(4,3)</f>
        <v>4</v>
      </c>
      <c r="H75" s="42">
        <f>ROUND(0,2)</f>
        <v>0</v>
      </c>
      <c r="I75" s="31">
        <f>ROUND(H75*G75,2)</f>
        <v>0</v>
      </c>
      <c r="J75" s="46" t="s">
        <v>25</v>
      </c>
      <c r="K75" s="31">
        <f>IF(ISNUMBER(J75),ROUND(I75*(J75+1),2),0)</f>
        <v>0</v>
      </c>
      <c r="L75" s="10"/>
      <c r="M75" s="4"/>
      <c r="N75" s="4"/>
      <c r="O75" s="4"/>
      <c r="P75" s="4"/>
      <c r="Q75" s="1">
        <f>IF(ISNUMBER(J75),IF(G75&gt;0,IF(H75&gt;0,I75,0),0),0)</f>
        <v>0</v>
      </c>
      <c r="R75" s="1">
        <f>IF(ISNUMBER(J75)=FALSE,I75,0)</f>
        <v>0</v>
      </c>
    </row>
    <row r="76" spans="1:19" ht="25.5">
      <c r="A76" s="9"/>
      <c r="B76" s="283" t="s">
        <v>27</v>
      </c>
      <c r="C76" s="276"/>
      <c r="D76" s="276"/>
      <c r="E76" s="27" t="s">
        <v>448</v>
      </c>
      <c r="F76" s="3"/>
      <c r="G76" s="3"/>
      <c r="H76" s="39"/>
      <c r="I76" s="3"/>
      <c r="J76" s="39"/>
      <c r="K76" s="3"/>
      <c r="L76" s="10"/>
      <c r="M76" s="4"/>
      <c r="N76" s="4"/>
      <c r="O76" s="4"/>
      <c r="P76" s="4"/>
    </row>
    <row r="77" spans="1:19" ht="13.5" thickBot="1">
      <c r="A77" s="9"/>
      <c r="B77" s="281" t="s">
        <v>28</v>
      </c>
      <c r="C77" s="282"/>
      <c r="D77" s="282"/>
      <c r="E77" s="29" t="s">
        <v>449</v>
      </c>
      <c r="F77" s="28"/>
      <c r="G77" s="28"/>
      <c r="H77" s="41"/>
      <c r="I77" s="28"/>
      <c r="J77" s="41"/>
      <c r="K77" s="28"/>
      <c r="L77" s="10"/>
      <c r="M77" s="4"/>
      <c r="N77" s="4"/>
      <c r="O77" s="4"/>
      <c r="P77" s="4"/>
    </row>
    <row r="78" spans="1:19" ht="13.5" thickTop="1">
      <c r="A78" s="9"/>
      <c r="B78" s="22">
        <v>9</v>
      </c>
      <c r="C78" s="23" t="s">
        <v>450</v>
      </c>
      <c r="D78" s="23" t="s">
        <v>25</v>
      </c>
      <c r="E78" s="23" t="s">
        <v>451</v>
      </c>
      <c r="F78" s="24" t="s">
        <v>64</v>
      </c>
      <c r="G78" s="30">
        <f>ROUND(36.645,3)</f>
        <v>36.645000000000003</v>
      </c>
      <c r="H78" s="42">
        <f>ROUND(0,2)</f>
        <v>0</v>
      </c>
      <c r="I78" s="31">
        <f>ROUND(H78*G78,2)</f>
        <v>0</v>
      </c>
      <c r="J78" s="46" t="s">
        <v>25</v>
      </c>
      <c r="K78" s="31">
        <f>IF(ISNUMBER(J78),ROUND(I78*(J78+1),2),0)</f>
        <v>0</v>
      </c>
      <c r="L78" s="10"/>
      <c r="M78" s="4"/>
      <c r="N78" s="4"/>
      <c r="O78" s="4"/>
      <c r="P78" s="4"/>
      <c r="Q78" s="1">
        <f>IF(ISNUMBER(J78),IF(G78&gt;0,IF(H78&gt;0,I78,0),0),0)</f>
        <v>0</v>
      </c>
      <c r="R78" s="1">
        <f>IF(ISNUMBER(J78)=FALSE,I78,0)</f>
        <v>0</v>
      </c>
    </row>
    <row r="79" spans="1:19">
      <c r="A79" s="9"/>
      <c r="B79" s="283" t="s">
        <v>27</v>
      </c>
      <c r="C79" s="276"/>
      <c r="D79" s="276"/>
      <c r="E79" s="27" t="s">
        <v>452</v>
      </c>
      <c r="F79" s="3"/>
      <c r="G79" s="3"/>
      <c r="H79" s="39"/>
      <c r="I79" s="3"/>
      <c r="J79" s="39"/>
      <c r="K79" s="3"/>
      <c r="L79" s="10"/>
      <c r="M79" s="4"/>
      <c r="N79" s="4"/>
      <c r="O79" s="4"/>
      <c r="P79" s="4"/>
    </row>
    <row r="80" spans="1:19" ht="13.5" thickBot="1">
      <c r="A80" s="9"/>
      <c r="B80" s="281" t="s">
        <v>28</v>
      </c>
      <c r="C80" s="282"/>
      <c r="D80" s="282"/>
      <c r="E80" s="29" t="s">
        <v>453</v>
      </c>
      <c r="F80" s="28"/>
      <c r="G80" s="28"/>
      <c r="H80" s="41"/>
      <c r="I80" s="28"/>
      <c r="J80" s="41"/>
      <c r="K80" s="28"/>
      <c r="L80" s="10"/>
      <c r="M80" s="4"/>
      <c r="N80" s="4"/>
      <c r="O80" s="4"/>
      <c r="P80" s="4"/>
    </row>
    <row r="81" spans="1:19" ht="13.5" thickTop="1">
      <c r="A81" s="9"/>
      <c r="B81" s="22">
        <v>10</v>
      </c>
      <c r="C81" s="23" t="s">
        <v>454</v>
      </c>
      <c r="D81" s="23" t="s">
        <v>25</v>
      </c>
      <c r="E81" s="23" t="s">
        <v>455</v>
      </c>
      <c r="F81" s="24" t="s">
        <v>64</v>
      </c>
      <c r="G81" s="30">
        <f>ROUND(34.9,3)</f>
        <v>34.9</v>
      </c>
      <c r="H81" s="42">
        <f>ROUND(0,2)</f>
        <v>0</v>
      </c>
      <c r="I81" s="31">
        <f>ROUND(H81*G81,2)</f>
        <v>0</v>
      </c>
      <c r="J81" s="46" t="s">
        <v>25</v>
      </c>
      <c r="K81" s="31">
        <f>IF(ISNUMBER(J81),ROUND(I81*(J81+1),2),0)</f>
        <v>0</v>
      </c>
      <c r="L81" s="10"/>
      <c r="M81" s="4"/>
      <c r="N81" s="4"/>
      <c r="O81" s="4"/>
      <c r="P81" s="4"/>
      <c r="Q81" s="1">
        <f>IF(ISNUMBER(J81),IF(G81&gt;0,IF(H81&gt;0,I81,0),0),0)</f>
        <v>0</v>
      </c>
      <c r="R81" s="1">
        <f>IF(ISNUMBER(J81)=FALSE,I81,0)</f>
        <v>0</v>
      </c>
    </row>
    <row r="82" spans="1:19">
      <c r="A82" s="9"/>
      <c r="B82" s="283" t="s">
        <v>27</v>
      </c>
      <c r="C82" s="276"/>
      <c r="D82" s="276"/>
      <c r="E82" s="27" t="s">
        <v>456</v>
      </c>
      <c r="F82" s="3"/>
      <c r="G82" s="3"/>
      <c r="H82" s="39"/>
      <c r="I82" s="3"/>
      <c r="J82" s="39"/>
      <c r="K82" s="3"/>
      <c r="L82" s="10"/>
      <c r="M82" s="4"/>
      <c r="N82" s="4"/>
      <c r="O82" s="4"/>
      <c r="P82" s="4"/>
    </row>
    <row r="83" spans="1:19" ht="13.5" thickBot="1">
      <c r="A83" s="9"/>
      <c r="B83" s="281" t="s">
        <v>28</v>
      </c>
      <c r="C83" s="282"/>
      <c r="D83" s="282"/>
      <c r="E83" s="29" t="s">
        <v>445</v>
      </c>
      <c r="F83" s="28"/>
      <c r="G83" s="28"/>
      <c r="H83" s="41"/>
      <c r="I83" s="28"/>
      <c r="J83" s="41"/>
      <c r="K83" s="28"/>
      <c r="L83" s="10"/>
      <c r="M83" s="4"/>
      <c r="N83" s="4"/>
      <c r="O83" s="4"/>
      <c r="P83" s="4"/>
    </row>
    <row r="84" spans="1:19" ht="13.5" thickTop="1">
      <c r="A84" s="9"/>
      <c r="B84" s="22">
        <v>11</v>
      </c>
      <c r="C84" s="23" t="s">
        <v>159</v>
      </c>
      <c r="D84" s="23" t="s">
        <v>25</v>
      </c>
      <c r="E84" s="23" t="s">
        <v>160</v>
      </c>
      <c r="F84" s="24" t="s">
        <v>52</v>
      </c>
      <c r="G84" s="30">
        <f>ROUND(2,3)</f>
        <v>2</v>
      </c>
      <c r="H84" s="42">
        <f>ROUND(0,2)</f>
        <v>0</v>
      </c>
      <c r="I84" s="31">
        <f>ROUND(H84*G84,2)</f>
        <v>0</v>
      </c>
      <c r="J84" s="46" t="s">
        <v>25</v>
      </c>
      <c r="K84" s="31">
        <f>IF(ISNUMBER(J84),ROUND(I84*(J84+1),2),0)</f>
        <v>0</v>
      </c>
      <c r="L84" s="10"/>
      <c r="M84" s="4"/>
      <c r="N84" s="4"/>
      <c r="O84" s="4"/>
      <c r="P84" s="4"/>
      <c r="Q84" s="1">
        <f>IF(ISNUMBER(J84),IF(G84&gt;0,IF(H84&gt;0,I84,0),0),0)</f>
        <v>0</v>
      </c>
      <c r="R84" s="1">
        <f>IF(ISNUMBER(J84)=FALSE,I84,0)</f>
        <v>0</v>
      </c>
    </row>
    <row r="85" spans="1:19">
      <c r="A85" s="9"/>
      <c r="B85" s="283" t="s">
        <v>27</v>
      </c>
      <c r="C85" s="276"/>
      <c r="D85" s="276"/>
      <c r="E85" s="27" t="s">
        <v>457</v>
      </c>
      <c r="F85" s="3"/>
      <c r="G85" s="3"/>
      <c r="H85" s="39"/>
      <c r="I85" s="3"/>
      <c r="J85" s="39"/>
      <c r="K85" s="3"/>
      <c r="L85" s="10"/>
      <c r="M85" s="4"/>
      <c r="N85" s="4"/>
      <c r="O85" s="4"/>
      <c r="P85" s="4"/>
    </row>
    <row r="86" spans="1:19" ht="13.5" thickBot="1">
      <c r="A86" s="9"/>
      <c r="B86" s="281" t="s">
        <v>28</v>
      </c>
      <c r="C86" s="282"/>
      <c r="D86" s="282"/>
      <c r="E86" s="29" t="s">
        <v>458</v>
      </c>
      <c r="F86" s="28"/>
      <c r="G86" s="28"/>
      <c r="H86" s="41"/>
      <c r="I86" s="28"/>
      <c r="J86" s="41"/>
      <c r="K86" s="28"/>
      <c r="L86" s="10"/>
      <c r="M86" s="4"/>
      <c r="N86" s="4"/>
      <c r="O86" s="4"/>
      <c r="P86" s="4"/>
    </row>
    <row r="87" spans="1:19" ht="13.5" thickTop="1">
      <c r="A87" s="9"/>
      <c r="B87" s="22">
        <v>12</v>
      </c>
      <c r="C87" s="23" t="s">
        <v>459</v>
      </c>
      <c r="D87" s="23" t="s">
        <v>25</v>
      </c>
      <c r="E87" s="23" t="s">
        <v>460</v>
      </c>
      <c r="F87" s="24" t="s">
        <v>64</v>
      </c>
      <c r="G87" s="30">
        <f>ROUND(34.9,3)</f>
        <v>34.9</v>
      </c>
      <c r="H87" s="42">
        <f>ROUND(0,2)</f>
        <v>0</v>
      </c>
      <c r="I87" s="31">
        <f>ROUND(H87*G87,2)</f>
        <v>0</v>
      </c>
      <c r="J87" s="46" t="s">
        <v>25</v>
      </c>
      <c r="K87" s="31">
        <f>IF(ISNUMBER(J87),ROUND(I87*(J87+1),2),0)</f>
        <v>0</v>
      </c>
      <c r="L87" s="10"/>
      <c r="M87" s="4"/>
      <c r="N87" s="4"/>
      <c r="O87" s="4"/>
      <c r="P87" s="4"/>
      <c r="Q87" s="1">
        <f>IF(ISNUMBER(J87),IF(G87&gt;0,IF(H87&gt;0,I87,0),0),0)</f>
        <v>0</v>
      </c>
      <c r="R87" s="1">
        <f>IF(ISNUMBER(J87)=FALSE,I87,0)</f>
        <v>0</v>
      </c>
    </row>
    <row r="88" spans="1:19">
      <c r="A88" s="9"/>
      <c r="B88" s="283" t="s">
        <v>27</v>
      </c>
      <c r="C88" s="276"/>
      <c r="D88" s="276"/>
      <c r="E88" s="27" t="s">
        <v>461</v>
      </c>
      <c r="F88" s="3"/>
      <c r="G88" s="3"/>
      <c r="H88" s="39"/>
      <c r="I88" s="3"/>
      <c r="J88" s="39"/>
      <c r="K88" s="3"/>
      <c r="L88" s="10"/>
      <c r="M88" s="4"/>
      <c r="N88" s="4"/>
      <c r="O88" s="4"/>
      <c r="P88" s="4"/>
    </row>
    <row r="89" spans="1:19" ht="13.5" thickBot="1">
      <c r="A89" s="9"/>
      <c r="B89" s="281" t="s">
        <v>28</v>
      </c>
      <c r="C89" s="282"/>
      <c r="D89" s="282"/>
      <c r="E89" s="29" t="s">
        <v>462</v>
      </c>
      <c r="F89" s="28"/>
      <c r="G89" s="28"/>
      <c r="H89" s="41"/>
      <c r="I89" s="28"/>
      <c r="J89" s="41"/>
      <c r="K89" s="28"/>
      <c r="L89" s="10"/>
      <c r="M89" s="4"/>
      <c r="N89" s="4"/>
      <c r="O89" s="4"/>
      <c r="P89" s="4"/>
    </row>
    <row r="90" spans="1:19" ht="13.5" thickTop="1">
      <c r="A90" s="9"/>
      <c r="B90" s="22">
        <v>13</v>
      </c>
      <c r="C90" s="23" t="s">
        <v>463</v>
      </c>
      <c r="D90" s="23" t="s">
        <v>25</v>
      </c>
      <c r="E90" s="23" t="s">
        <v>464</v>
      </c>
      <c r="F90" s="24" t="s">
        <v>64</v>
      </c>
      <c r="G90" s="30">
        <f>ROUND(34.9,3)</f>
        <v>34.9</v>
      </c>
      <c r="H90" s="42">
        <f>ROUND(0,2)</f>
        <v>0</v>
      </c>
      <c r="I90" s="31">
        <f>ROUND(H90*G90,2)</f>
        <v>0</v>
      </c>
      <c r="J90" s="46" t="s">
        <v>25</v>
      </c>
      <c r="K90" s="31">
        <f>IF(ISNUMBER(J90),ROUND(I90*(J90+1),2),0)</f>
        <v>0</v>
      </c>
      <c r="L90" s="10"/>
      <c r="M90" s="4"/>
      <c r="N90" s="4"/>
      <c r="O90" s="4"/>
      <c r="P90" s="4"/>
      <c r="Q90" s="1">
        <f>IF(ISNUMBER(J90),IF(G90&gt;0,IF(H90&gt;0,I90,0),0),0)</f>
        <v>0</v>
      </c>
      <c r="R90" s="1">
        <f>IF(ISNUMBER(J90)=FALSE,I90,0)</f>
        <v>0</v>
      </c>
    </row>
    <row r="91" spans="1:19">
      <c r="A91" s="9"/>
      <c r="B91" s="283" t="s">
        <v>27</v>
      </c>
      <c r="C91" s="276"/>
      <c r="D91" s="276"/>
      <c r="E91" s="27" t="s">
        <v>461</v>
      </c>
      <c r="F91" s="3"/>
      <c r="G91" s="3"/>
      <c r="H91" s="39"/>
      <c r="I91" s="3"/>
      <c r="J91" s="39"/>
      <c r="K91" s="3"/>
      <c r="L91" s="10"/>
      <c r="M91" s="4"/>
      <c r="N91" s="4"/>
      <c r="O91" s="4"/>
      <c r="P91" s="4"/>
    </row>
    <row r="92" spans="1:19" ht="13.5" thickBot="1">
      <c r="A92" s="9"/>
      <c r="B92" s="281" t="s">
        <v>28</v>
      </c>
      <c r="C92" s="282"/>
      <c r="D92" s="282"/>
      <c r="E92" s="29" t="s">
        <v>462</v>
      </c>
      <c r="F92" s="28"/>
      <c r="G92" s="28"/>
      <c r="H92" s="41"/>
      <c r="I92" s="28"/>
      <c r="J92" s="41"/>
      <c r="K92" s="28"/>
      <c r="L92" s="10"/>
      <c r="M92" s="4"/>
      <c r="N92" s="4"/>
      <c r="O92" s="4"/>
      <c r="P92" s="4"/>
    </row>
    <row r="93" spans="1:19" ht="24.95" customHeight="1" thickTop="1" thickBot="1">
      <c r="A93" s="9"/>
      <c r="B93" s="32"/>
      <c r="C93" s="33">
        <v>8</v>
      </c>
      <c r="D93" s="32"/>
      <c r="E93" s="34" t="s">
        <v>163</v>
      </c>
      <c r="F93" s="35" t="s">
        <v>44</v>
      </c>
      <c r="G93" s="36">
        <f>I72+I75+I78+I81+I84+I87+I90</f>
        <v>0</v>
      </c>
      <c r="H93" s="43" t="s">
        <v>45</v>
      </c>
      <c r="I93" s="37">
        <f>IF(COUNT(J72:J93)&gt;0,AVERAGE(J72:J93),0.21)</f>
        <v>0.21</v>
      </c>
      <c r="J93" s="43" t="s">
        <v>46</v>
      </c>
      <c r="K93" s="36">
        <f>ROUND(Q93*(1+I93),2)+R93</f>
        <v>0</v>
      </c>
      <c r="L93" s="10"/>
      <c r="M93" s="4"/>
      <c r="N93" s="4"/>
      <c r="O93" s="4"/>
      <c r="P93" s="4"/>
      <c r="Q93" s="1">
        <f>0+Q72+Q75+Q78+Q81+Q84+Q87+Q90</f>
        <v>0</v>
      </c>
      <c r="R93" s="1">
        <f>0+R72+R75+R78+R81+R84+R87+R90</f>
        <v>0</v>
      </c>
      <c r="S93" s="2">
        <f>Q93*(1+I93)+R93</f>
        <v>0</v>
      </c>
    </row>
    <row r="94" spans="1:19" ht="39.950000000000003" customHeight="1">
      <c r="A94" s="9"/>
      <c r="B94" s="284" t="s">
        <v>86</v>
      </c>
      <c r="C94" s="276"/>
      <c r="D94" s="276"/>
      <c r="E94" s="285"/>
      <c r="F94" s="276"/>
      <c r="G94" s="276"/>
      <c r="H94" s="286"/>
      <c r="I94" s="276"/>
      <c r="J94" s="286"/>
      <c r="K94" s="276"/>
      <c r="L94" s="10"/>
      <c r="M94" s="4"/>
      <c r="N94" s="4"/>
      <c r="O94" s="4"/>
      <c r="P94" s="4"/>
    </row>
    <row r="95" spans="1:19">
      <c r="A95" s="9"/>
      <c r="B95" s="22">
        <v>14</v>
      </c>
      <c r="C95" s="23" t="s">
        <v>465</v>
      </c>
      <c r="D95" s="23" t="s">
        <v>25</v>
      </c>
      <c r="E95" s="23" t="s">
        <v>466</v>
      </c>
      <c r="F95" s="24" t="s">
        <v>64</v>
      </c>
      <c r="G95" s="25">
        <f>ROUND(35.8,3)</f>
        <v>35.799999999999997</v>
      </c>
      <c r="H95" s="40">
        <f>ROUND(0,2)</f>
        <v>0</v>
      </c>
      <c r="I95" s="26">
        <f>ROUND(H95*G95,2)</f>
        <v>0</v>
      </c>
      <c r="J95" s="45" t="s">
        <v>25</v>
      </c>
      <c r="K95" s="26">
        <f>IF(ISNUMBER(J95),ROUND(I95*(J95+1),2),0)</f>
        <v>0</v>
      </c>
      <c r="L95" s="10"/>
      <c r="M95" s="4"/>
      <c r="N95" s="4"/>
      <c r="O95" s="4"/>
      <c r="P95" s="4"/>
      <c r="Q95" s="1">
        <f>IF(ISNUMBER(J95),IF(G95&gt;0,IF(H95&gt;0,I95,0),0),0)</f>
        <v>0</v>
      </c>
      <c r="R95" s="1">
        <f>IF(ISNUMBER(J95)=FALSE,I95,0)</f>
        <v>0</v>
      </c>
    </row>
    <row r="96" spans="1:19" ht="25.5">
      <c r="A96" s="9"/>
      <c r="B96" s="283" t="s">
        <v>27</v>
      </c>
      <c r="C96" s="276"/>
      <c r="D96" s="276"/>
      <c r="E96" s="27" t="s">
        <v>467</v>
      </c>
      <c r="F96" s="3"/>
      <c r="G96" s="3"/>
      <c r="H96" s="39"/>
      <c r="I96" s="3"/>
      <c r="J96" s="39"/>
      <c r="K96" s="3"/>
      <c r="L96" s="10"/>
      <c r="M96" s="4"/>
      <c r="N96" s="4"/>
      <c r="O96" s="4"/>
      <c r="P96" s="4"/>
    </row>
    <row r="97" spans="1:19" ht="13.5" thickBot="1">
      <c r="A97" s="9"/>
      <c r="B97" s="281" t="s">
        <v>28</v>
      </c>
      <c r="C97" s="282"/>
      <c r="D97" s="282"/>
      <c r="E97" s="29" t="s">
        <v>468</v>
      </c>
      <c r="F97" s="28"/>
      <c r="G97" s="28"/>
      <c r="H97" s="41"/>
      <c r="I97" s="28"/>
      <c r="J97" s="41"/>
      <c r="K97" s="28"/>
      <c r="L97" s="10"/>
      <c r="M97" s="4"/>
      <c r="N97" s="4"/>
      <c r="O97" s="4"/>
      <c r="P97" s="4"/>
    </row>
    <row r="98" spans="1:19" ht="24.95" customHeight="1" thickTop="1" thickBot="1">
      <c r="A98" s="9"/>
      <c r="B98" s="32"/>
      <c r="C98" s="33">
        <v>9</v>
      </c>
      <c r="D98" s="32"/>
      <c r="E98" s="34" t="s">
        <v>87</v>
      </c>
      <c r="F98" s="35" t="s">
        <v>44</v>
      </c>
      <c r="G98" s="36">
        <f>0+I95</f>
        <v>0</v>
      </c>
      <c r="H98" s="43" t="s">
        <v>45</v>
      </c>
      <c r="I98" s="37">
        <f>IF(COUNT(J95:J98)&gt;0,AVERAGE(J95:J98),0.21)</f>
        <v>0.21</v>
      </c>
      <c r="J98" s="43" t="s">
        <v>46</v>
      </c>
      <c r="K98" s="36">
        <f>ROUND(Q98*(1+I98),2)+R98</f>
        <v>0</v>
      </c>
      <c r="L98" s="10"/>
      <c r="M98" s="4"/>
      <c r="N98" s="4"/>
      <c r="O98" s="4"/>
      <c r="P98" s="4"/>
      <c r="Q98" s="1">
        <f>0+Q95</f>
        <v>0</v>
      </c>
      <c r="R98" s="1">
        <f>0+R95</f>
        <v>0</v>
      </c>
      <c r="S98" s="2">
        <f>Q98*(1+I98)+R98</f>
        <v>0</v>
      </c>
    </row>
    <row r="99" spans="1:19">
      <c r="A99" s="11"/>
      <c r="B99" s="5"/>
      <c r="C99" s="5"/>
      <c r="D99" s="5"/>
      <c r="E99" s="38"/>
      <c r="F99" s="5"/>
      <c r="G99" s="5"/>
      <c r="H99" s="44"/>
      <c r="I99" s="5"/>
      <c r="J99" s="44"/>
      <c r="K99" s="5"/>
      <c r="L99" s="12"/>
      <c r="M99" s="4"/>
      <c r="N99" s="4"/>
      <c r="O99" s="4"/>
      <c r="P99" s="4"/>
    </row>
  </sheetData>
  <autoFilter ref="A1:S1" xr:uid="{00000000-0009-0000-0000-00000B000000}">
    <filterColumn colId="3" showButton="0"/>
  </autoFilter>
  <mergeCells count="64">
    <mergeCell ref="A1:A2"/>
    <mergeCell ref="A3:F3"/>
    <mergeCell ref="B4:C5"/>
    <mergeCell ref="B6:I6"/>
    <mergeCell ref="D1:E2"/>
    <mergeCell ref="B8:C9"/>
    <mergeCell ref="A10:D10"/>
    <mergeCell ref="A11:G11"/>
    <mergeCell ref="A12:G12"/>
    <mergeCell ref="A13:G13"/>
    <mergeCell ref="B17:C18"/>
    <mergeCell ref="B19:D19"/>
    <mergeCell ref="E19:F19"/>
    <mergeCell ref="B27:C28"/>
    <mergeCell ref="B32:D32"/>
    <mergeCell ref="B30:K30"/>
    <mergeCell ref="B20:D20"/>
    <mergeCell ref="B21:D21"/>
    <mergeCell ref="B41:K41"/>
    <mergeCell ref="B33:D33"/>
    <mergeCell ref="B35:D35"/>
    <mergeCell ref="B36:D36"/>
    <mergeCell ref="B38:D38"/>
    <mergeCell ref="B39:D39"/>
    <mergeCell ref="B52:D52"/>
    <mergeCell ref="B54:D54"/>
    <mergeCell ref="B55:D55"/>
    <mergeCell ref="B57:D57"/>
    <mergeCell ref="B43:D43"/>
    <mergeCell ref="B44:D44"/>
    <mergeCell ref="B46:D46"/>
    <mergeCell ref="B47:D47"/>
    <mergeCell ref="B76:D76"/>
    <mergeCell ref="B77:D77"/>
    <mergeCell ref="B79:D79"/>
    <mergeCell ref="B49:K49"/>
    <mergeCell ref="B22:D22"/>
    <mergeCell ref="B68:D68"/>
    <mergeCell ref="B69:D69"/>
    <mergeCell ref="B66:K66"/>
    <mergeCell ref="B23:D23"/>
    <mergeCell ref="B24:D24"/>
    <mergeCell ref="B58:D58"/>
    <mergeCell ref="B60:D60"/>
    <mergeCell ref="B61:D61"/>
    <mergeCell ref="B63:D63"/>
    <mergeCell ref="B64:D64"/>
    <mergeCell ref="B51:D51"/>
    <mergeCell ref="B96:D96"/>
    <mergeCell ref="B97:D97"/>
    <mergeCell ref="B94:K94"/>
    <mergeCell ref="B25:D25"/>
    <mergeCell ref="B88:D88"/>
    <mergeCell ref="B89:D89"/>
    <mergeCell ref="B91:D91"/>
    <mergeCell ref="B92:D92"/>
    <mergeCell ref="B71:K71"/>
    <mergeCell ref="B80:D80"/>
    <mergeCell ref="B82:D82"/>
    <mergeCell ref="B83:D83"/>
    <mergeCell ref="B85:D85"/>
    <mergeCell ref="B86:D86"/>
    <mergeCell ref="B73:D73"/>
    <mergeCell ref="B74:D74"/>
  </mergeCells>
  <pageMargins left="0.39370078740157499" right="0.39370078740157499" top="0.59055118110236204" bottom="0.39370078740157499" header="0.196850393700787" footer="0.15748031496063"/>
  <pageSetup paperSize="9" fitToHeight="0" orientation="portrait"/>
  <headerFooter>
    <oddFooter>&amp;CLÁVKA PŘES LABE V NYMBURKU | Přeložka vodovodu&amp;R&amp;P/&amp;N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11 - SO431NN_cm">
    <tabColor theme="5" tint="0.39997558519241921"/>
    <pageSetUpPr fitToPage="1"/>
  </sheetPr>
  <dimension ref="A1:S30"/>
  <sheetViews>
    <sheetView workbookViewId="0">
      <selection sqref="A1:A2"/>
    </sheetView>
  </sheetViews>
  <sheetFormatPr defaultRowHeight="12.75"/>
  <cols>
    <col min="1" max="1" width="4.7109375"/>
    <col min="2" max="2" width="5.7109375"/>
    <col min="3" max="3" width="11.7109375"/>
    <col min="4" max="4" width="5.7109375"/>
    <col min="5" max="5" width="80.7109375"/>
    <col min="6" max="6" width="20.7109375"/>
    <col min="7" max="11" width="22.7109375"/>
    <col min="12" max="12" width="4.7109375"/>
    <col min="17" max="19" width="0" hidden="1"/>
  </cols>
  <sheetData>
    <row r="1" spans="1:19">
      <c r="A1" s="276"/>
      <c r="B1" s="3"/>
      <c r="C1" s="3"/>
      <c r="D1" s="280" t="s">
        <v>0</v>
      </c>
      <c r="E1" s="276"/>
      <c r="F1" s="3"/>
      <c r="G1" s="3"/>
      <c r="H1" s="3"/>
      <c r="I1" s="3"/>
      <c r="J1" s="3"/>
      <c r="K1" s="3"/>
      <c r="L1" s="3"/>
      <c r="M1" s="4"/>
      <c r="N1" s="4"/>
      <c r="O1" s="4"/>
      <c r="P1" s="4"/>
    </row>
    <row r="2" spans="1:19">
      <c r="A2" s="276"/>
      <c r="B2" s="3"/>
      <c r="C2" s="3"/>
      <c r="D2" s="276"/>
      <c r="E2" s="276"/>
      <c r="F2" s="3"/>
      <c r="G2" s="3"/>
      <c r="H2" s="3"/>
      <c r="I2" s="3"/>
      <c r="J2" s="3"/>
      <c r="K2" s="3"/>
      <c r="L2" s="3"/>
      <c r="M2" s="4"/>
      <c r="N2" s="4"/>
      <c r="O2" s="4"/>
      <c r="P2" s="4"/>
    </row>
    <row r="3" spans="1:19" ht="24" customHeight="1">
      <c r="A3" s="278" t="s">
        <v>1</v>
      </c>
      <c r="B3" s="276"/>
      <c r="C3" s="276"/>
      <c r="D3" s="276"/>
      <c r="E3" s="276"/>
      <c r="F3" s="276"/>
      <c r="G3" s="3"/>
      <c r="H3" s="3"/>
      <c r="I3" s="3"/>
      <c r="J3" s="3"/>
      <c r="K3" s="3"/>
      <c r="L3" s="3"/>
      <c r="M3" s="4"/>
      <c r="N3" s="4"/>
      <c r="O3" s="4"/>
      <c r="P3" s="4"/>
    </row>
    <row r="4" spans="1:19" ht="6" customHeight="1">
      <c r="A4" s="5"/>
      <c r="B4" s="289" t="s">
        <v>2</v>
      </c>
      <c r="C4" s="290"/>
      <c r="D4" s="5"/>
      <c r="E4" s="5"/>
      <c r="F4" s="5"/>
      <c r="G4" s="5"/>
      <c r="H4" s="5"/>
      <c r="I4" s="5"/>
      <c r="J4" s="5"/>
      <c r="K4" s="5"/>
      <c r="L4" s="5"/>
      <c r="M4" s="4"/>
      <c r="N4" s="4"/>
      <c r="O4" s="4"/>
      <c r="P4" s="4"/>
    </row>
    <row r="5" spans="1:19" ht="6" customHeight="1">
      <c r="A5" s="6"/>
      <c r="B5" s="273"/>
      <c r="C5" s="273"/>
      <c r="D5" s="7"/>
      <c r="E5" s="7"/>
      <c r="F5" s="7"/>
      <c r="G5" s="7"/>
      <c r="H5" s="7"/>
      <c r="I5" s="7"/>
      <c r="J5" s="7"/>
      <c r="K5" s="7"/>
      <c r="L5" s="8"/>
      <c r="M5" s="4"/>
      <c r="N5" s="4"/>
      <c r="O5" s="4"/>
      <c r="P5" s="4"/>
    </row>
    <row r="6" spans="1:19" ht="33.950000000000003" customHeight="1">
      <c r="A6" s="9"/>
      <c r="B6" s="297" t="s">
        <v>3</v>
      </c>
      <c r="C6" s="276"/>
      <c r="D6" s="276"/>
      <c r="E6" s="276"/>
      <c r="F6" s="276"/>
      <c r="G6" s="276"/>
      <c r="H6" s="276"/>
      <c r="I6" s="276"/>
      <c r="J6" s="3"/>
      <c r="K6" s="3"/>
      <c r="L6" s="10"/>
      <c r="M6" s="4"/>
      <c r="N6" s="4"/>
      <c r="O6" s="4"/>
      <c r="P6" s="4"/>
    </row>
    <row r="7" spans="1:19">
      <c r="A7" s="11"/>
      <c r="B7" s="5"/>
      <c r="C7" s="5"/>
      <c r="D7" s="5"/>
      <c r="E7" s="5"/>
      <c r="F7" s="5"/>
      <c r="G7" s="5"/>
      <c r="H7" s="5"/>
      <c r="I7" s="5"/>
      <c r="J7" s="5"/>
      <c r="K7" s="5"/>
      <c r="L7" s="12"/>
      <c r="M7" s="4"/>
      <c r="N7" s="4"/>
      <c r="O7" s="4"/>
      <c r="P7" s="4"/>
    </row>
    <row r="8" spans="1:19" ht="14.1" customHeight="1">
      <c r="A8" s="5"/>
      <c r="B8" s="293" t="s">
        <v>4</v>
      </c>
      <c r="C8" s="290"/>
      <c r="D8" s="5"/>
      <c r="E8" s="5"/>
      <c r="F8" s="5"/>
      <c r="G8" s="5"/>
      <c r="H8" s="5"/>
      <c r="I8" s="5"/>
      <c r="J8" s="5"/>
      <c r="K8" s="5"/>
      <c r="L8" s="5"/>
      <c r="M8" s="4"/>
      <c r="N8" s="4"/>
      <c r="O8" s="4"/>
      <c r="P8" s="4"/>
    </row>
    <row r="9" spans="1:19" ht="8.1" customHeight="1">
      <c r="A9" s="6"/>
      <c r="B9" s="273"/>
      <c r="C9" s="273"/>
      <c r="D9" s="7"/>
      <c r="E9" s="7"/>
      <c r="F9" s="7"/>
      <c r="G9" s="7"/>
      <c r="H9" s="7"/>
      <c r="I9" s="7"/>
      <c r="J9" s="7"/>
      <c r="K9" s="7"/>
      <c r="L9" s="8"/>
      <c r="M9" s="4"/>
      <c r="N9" s="4"/>
      <c r="O9" s="4"/>
      <c r="P9" s="4"/>
    </row>
    <row r="10" spans="1:19">
      <c r="A10" s="275" t="s">
        <v>5</v>
      </c>
      <c r="B10" s="276"/>
      <c r="C10" s="294"/>
      <c r="D10" s="276"/>
      <c r="E10" s="3"/>
      <c r="F10" s="14"/>
      <c r="G10" s="3"/>
      <c r="H10" s="15" t="s">
        <v>88</v>
      </c>
      <c r="I10" s="16">
        <f>G29</f>
        <v>0</v>
      </c>
      <c r="J10" s="3"/>
      <c r="K10" s="3"/>
      <c r="L10" s="10"/>
      <c r="M10" s="4"/>
      <c r="N10" s="4"/>
      <c r="O10" s="4"/>
      <c r="P10" s="4"/>
    </row>
    <row r="11" spans="1:19" ht="15.95" customHeight="1">
      <c r="A11" s="277" t="s">
        <v>469</v>
      </c>
      <c r="B11" s="276"/>
      <c r="C11" s="276"/>
      <c r="D11" s="276"/>
      <c r="E11" s="276"/>
      <c r="F11" s="295"/>
      <c r="G11" s="276"/>
      <c r="H11" s="15" t="s">
        <v>89</v>
      </c>
      <c r="I11" s="16">
        <f>ROUND(I10*(1+Q11),2)</f>
        <v>0</v>
      </c>
      <c r="J11" s="3"/>
      <c r="K11" s="3"/>
      <c r="L11" s="10"/>
      <c r="M11" s="4"/>
      <c r="N11" s="4"/>
      <c r="O11" s="4"/>
      <c r="P11" s="4"/>
      <c r="Q11" s="1">
        <f>IF(SUM(J20:J20)&gt;0,ROUND(SUM(S20:S20)/SUM(J20:J20)-1,8),0)</f>
        <v>0</v>
      </c>
      <c r="R11" s="1">
        <f>AVERAGE(I29)</f>
        <v>0.21</v>
      </c>
      <c r="S11" s="1">
        <f>I10*(1+Q11)</f>
        <v>0</v>
      </c>
    </row>
    <row r="12" spans="1:19">
      <c r="A12" s="275" t="s">
        <v>7</v>
      </c>
      <c r="B12" s="276"/>
      <c r="C12" s="294"/>
      <c r="D12" s="276"/>
      <c r="E12" s="276"/>
      <c r="F12" s="296"/>
      <c r="G12" s="276"/>
      <c r="H12" s="3"/>
      <c r="I12" s="3"/>
      <c r="J12" s="3"/>
      <c r="K12" s="3"/>
      <c r="L12" s="10"/>
      <c r="M12" s="4"/>
      <c r="N12" s="4"/>
      <c r="O12" s="4"/>
      <c r="P12" s="4"/>
    </row>
    <row r="13" spans="1:19" ht="15.95" customHeight="1">
      <c r="A13" s="277">
        <f>Souhrn!A13</f>
        <v>0</v>
      </c>
      <c r="B13" s="276"/>
      <c r="C13" s="276"/>
      <c r="D13" s="276"/>
      <c r="E13" s="276"/>
      <c r="F13" s="295"/>
      <c r="G13" s="276"/>
      <c r="H13" s="15" t="s">
        <v>8</v>
      </c>
      <c r="I13" s="13">
        <f>Souhrn!E13</f>
        <v>0</v>
      </c>
      <c r="J13" s="3"/>
      <c r="K13" s="3"/>
      <c r="L13" s="10"/>
      <c r="M13" s="4"/>
      <c r="N13" s="4"/>
      <c r="O13" s="4"/>
      <c r="P13" s="4"/>
    </row>
    <row r="14" spans="1:19">
      <c r="A14" s="9"/>
      <c r="B14" s="3"/>
      <c r="C14" s="3"/>
      <c r="D14" s="3"/>
      <c r="E14" s="3"/>
      <c r="F14" s="3"/>
      <c r="G14" s="3"/>
      <c r="H14" s="15" t="s">
        <v>9</v>
      </c>
      <c r="I14" s="13">
        <f>Souhrn!E14</f>
        <v>0</v>
      </c>
      <c r="J14" s="3"/>
      <c r="K14" s="3"/>
      <c r="L14" s="10"/>
      <c r="M14" s="4"/>
      <c r="N14" s="4"/>
      <c r="O14" s="4"/>
      <c r="P14" s="4"/>
    </row>
    <row r="15" spans="1:19" hidden="1">
      <c r="A15" s="9"/>
      <c r="B15" s="3"/>
      <c r="C15" s="3"/>
      <c r="D15" s="3"/>
      <c r="E15" s="3"/>
      <c r="F15" s="3"/>
      <c r="G15" s="3"/>
      <c r="H15" s="3"/>
      <c r="I15" s="3"/>
      <c r="J15" s="3"/>
      <c r="K15" s="3"/>
      <c r="L15" s="10"/>
      <c r="M15" s="4"/>
      <c r="N15" s="4"/>
      <c r="O15" s="4"/>
      <c r="P15" s="4"/>
    </row>
    <row r="16" spans="1:19" ht="9.9499999999999993" customHeight="1">
      <c r="A16" s="11"/>
      <c r="B16" s="5"/>
      <c r="C16" s="5"/>
      <c r="D16" s="5"/>
      <c r="E16" s="5"/>
      <c r="F16" s="5"/>
      <c r="G16" s="5"/>
      <c r="H16" s="5"/>
      <c r="I16" s="5"/>
      <c r="J16" s="5"/>
      <c r="K16" s="5"/>
      <c r="L16" s="12"/>
      <c r="M16" s="4"/>
      <c r="N16" s="4"/>
      <c r="O16" s="4"/>
      <c r="P16" s="4"/>
    </row>
    <row r="17" spans="1:19" ht="14.1" customHeight="1">
      <c r="A17" s="5"/>
      <c r="B17" s="289" t="s">
        <v>10</v>
      </c>
      <c r="C17" s="290"/>
      <c r="D17" s="5"/>
      <c r="E17" s="5"/>
      <c r="F17" s="5"/>
      <c r="G17" s="5"/>
      <c r="H17" s="5"/>
      <c r="I17" s="5"/>
      <c r="J17" s="5"/>
      <c r="K17" s="5"/>
      <c r="L17" s="5"/>
      <c r="M17" s="4"/>
      <c r="N17" s="4"/>
      <c r="O17" s="4"/>
      <c r="P17" s="4"/>
    </row>
    <row r="18" spans="1:19" ht="6" customHeight="1">
      <c r="A18" s="6"/>
      <c r="B18" s="273"/>
      <c r="C18" s="273"/>
      <c r="D18" s="7"/>
      <c r="E18" s="7"/>
      <c r="F18" s="7"/>
      <c r="G18" s="7"/>
      <c r="H18" s="7"/>
      <c r="I18" s="7"/>
      <c r="J18" s="7"/>
      <c r="K18" s="7"/>
      <c r="L18" s="8"/>
      <c r="M18" s="4"/>
      <c r="N18" s="4"/>
      <c r="O18" s="4"/>
      <c r="P18" s="4"/>
    </row>
    <row r="19" spans="1:19" ht="18" customHeight="1">
      <c r="A19" s="9"/>
      <c r="B19" s="291" t="s">
        <v>11</v>
      </c>
      <c r="C19" s="291"/>
      <c r="D19" s="291"/>
      <c r="E19" s="291" t="s">
        <v>12</v>
      </c>
      <c r="F19" s="292"/>
      <c r="G19" s="19"/>
      <c r="H19" s="19"/>
      <c r="I19" s="19"/>
      <c r="J19" s="19" t="s">
        <v>13</v>
      </c>
      <c r="K19" s="19" t="s">
        <v>14</v>
      </c>
      <c r="L19" s="10"/>
      <c r="M19" s="4"/>
      <c r="N19" s="4"/>
      <c r="O19" s="4"/>
      <c r="P19" s="4"/>
    </row>
    <row r="20" spans="1:19">
      <c r="A20" s="9"/>
      <c r="B20" s="287" t="s">
        <v>473</v>
      </c>
      <c r="C20" s="276"/>
      <c r="D20" s="276"/>
      <c r="E20" s="20" t="s">
        <v>474</v>
      </c>
      <c r="F20" s="3"/>
      <c r="G20" s="3"/>
      <c r="H20" s="3"/>
      <c r="I20" s="3"/>
      <c r="J20" s="21">
        <f>G29</f>
        <v>0</v>
      </c>
      <c r="K20" s="21">
        <f>K29</f>
        <v>0</v>
      </c>
      <c r="L20" s="10"/>
      <c r="M20" s="4"/>
      <c r="N20" s="4"/>
      <c r="O20" s="4"/>
      <c r="P20" s="4"/>
      <c r="S20" s="1">
        <f>S29</f>
        <v>0</v>
      </c>
    </row>
    <row r="21" spans="1:19">
      <c r="A21" s="11"/>
      <c r="B21" s="5"/>
      <c r="C21" s="5"/>
      <c r="D21" s="5"/>
      <c r="E21" s="5"/>
      <c r="F21" s="5"/>
      <c r="G21" s="5"/>
      <c r="H21" s="5"/>
      <c r="I21" s="5"/>
      <c r="J21" s="5"/>
      <c r="K21" s="5"/>
      <c r="L21" s="12"/>
      <c r="M21" s="4"/>
      <c r="N21" s="4"/>
      <c r="O21" s="4"/>
      <c r="P21" s="4"/>
    </row>
    <row r="22" spans="1:19" ht="14.1" customHeight="1">
      <c r="A22" s="5"/>
      <c r="B22" s="289" t="s">
        <v>15</v>
      </c>
      <c r="C22" s="290"/>
      <c r="D22" s="5"/>
      <c r="E22" s="5"/>
      <c r="F22" s="5"/>
      <c r="G22" s="5"/>
      <c r="H22" s="5"/>
      <c r="I22" s="5"/>
      <c r="J22" s="5"/>
      <c r="K22" s="5"/>
      <c r="L22" s="5"/>
      <c r="M22" s="4"/>
      <c r="N22" s="4"/>
      <c r="O22" s="4"/>
      <c r="P22" s="4"/>
    </row>
    <row r="23" spans="1:19" ht="18" customHeight="1">
      <c r="A23" s="6"/>
      <c r="B23" s="273"/>
      <c r="C23" s="273"/>
      <c r="D23" s="7"/>
      <c r="E23" s="7"/>
      <c r="F23" s="7"/>
      <c r="G23" s="7"/>
      <c r="H23" s="7"/>
      <c r="I23" s="7"/>
      <c r="J23" s="7"/>
      <c r="K23" s="7"/>
      <c r="L23" s="8"/>
      <c r="M23" s="4"/>
      <c r="N23" s="4"/>
      <c r="O23" s="4"/>
      <c r="P23" s="4"/>
    </row>
    <row r="24" spans="1:19" ht="18" customHeight="1">
      <c r="A24" s="9"/>
      <c r="B24" s="17" t="s">
        <v>16</v>
      </c>
      <c r="C24" s="17" t="s">
        <v>11</v>
      </c>
      <c r="D24" s="17" t="s">
        <v>17</v>
      </c>
      <c r="E24" s="17" t="s">
        <v>12</v>
      </c>
      <c r="F24" s="18" t="s">
        <v>18</v>
      </c>
      <c r="G24" s="19" t="s">
        <v>19</v>
      </c>
      <c r="H24" s="19" t="s">
        <v>20</v>
      </c>
      <c r="I24" s="19" t="s">
        <v>13</v>
      </c>
      <c r="J24" s="18" t="s">
        <v>21</v>
      </c>
      <c r="K24" s="19" t="s">
        <v>14</v>
      </c>
      <c r="L24" s="10"/>
      <c r="M24" s="4"/>
      <c r="N24" s="4"/>
      <c r="O24" s="4"/>
      <c r="P24" s="4"/>
    </row>
    <row r="25" spans="1:19" ht="39.950000000000003" customHeight="1">
      <c r="A25" s="9"/>
      <c r="B25" s="288" t="s">
        <v>472</v>
      </c>
      <c r="C25" s="276"/>
      <c r="D25" s="276"/>
      <c r="E25" s="276"/>
      <c r="F25" s="276"/>
      <c r="G25" s="276"/>
      <c r="H25" s="286"/>
      <c r="I25" s="276"/>
      <c r="J25" s="286"/>
      <c r="K25" s="276"/>
      <c r="L25" s="10"/>
      <c r="M25" s="4"/>
      <c r="N25" s="4"/>
      <c r="O25" s="4"/>
      <c r="P25" s="4"/>
    </row>
    <row r="26" spans="1:19">
      <c r="A26" s="9"/>
      <c r="B26" s="22">
        <v>1</v>
      </c>
      <c r="C26" s="23" t="s">
        <v>470</v>
      </c>
      <c r="D26" s="23" t="s">
        <v>92</v>
      </c>
      <c r="E26" s="23" t="s">
        <v>471</v>
      </c>
      <c r="F26" s="24" t="s">
        <v>40</v>
      </c>
      <c r="G26" s="25">
        <f>ROUND(1,3)</f>
        <v>1</v>
      </c>
      <c r="H26" s="271">
        <f>ROUND('17 - SO431_podrobně'!N61,2)</f>
        <v>0</v>
      </c>
      <c r="I26" s="26">
        <f>ROUND(H26*G26,2)</f>
        <v>0</v>
      </c>
      <c r="J26" s="45" t="s">
        <v>25</v>
      </c>
      <c r="K26" s="26">
        <f>IF(ISNUMBER(J26),ROUND(I26*(J26+1),2),0)</f>
        <v>0</v>
      </c>
      <c r="L26" s="10"/>
      <c r="M26" s="4"/>
      <c r="N26" s="4"/>
      <c r="O26" s="4"/>
      <c r="P26" s="4"/>
      <c r="Q26" s="1">
        <f>IF(ISNUMBER(J26),IF(G26&gt;0,IF(H26&gt;0,I26,0),0),0)</f>
        <v>0</v>
      </c>
      <c r="R26" s="1">
        <f>IF(ISNUMBER(J26)=FALSE,I26,0)</f>
        <v>0</v>
      </c>
    </row>
    <row r="27" spans="1:19">
      <c r="A27" s="9"/>
      <c r="B27" s="283" t="s">
        <v>27</v>
      </c>
      <c r="C27" s="276"/>
      <c r="D27" s="276"/>
      <c r="E27" s="27" t="s">
        <v>25</v>
      </c>
      <c r="F27" s="3"/>
      <c r="G27" s="3"/>
      <c r="H27" s="39"/>
      <c r="I27" s="3"/>
      <c r="J27" s="39"/>
      <c r="K27" s="3"/>
      <c r="L27" s="10"/>
      <c r="M27" s="4"/>
      <c r="N27" s="4"/>
      <c r="O27" s="4"/>
      <c r="P27" s="4"/>
    </row>
    <row r="28" spans="1:19" ht="13.5" thickBot="1">
      <c r="A28" s="9"/>
      <c r="B28" s="281" t="s">
        <v>28</v>
      </c>
      <c r="C28" s="282"/>
      <c r="D28" s="282"/>
      <c r="E28" s="29" t="s">
        <v>25</v>
      </c>
      <c r="F28" s="28"/>
      <c r="G28" s="28"/>
      <c r="H28" s="41"/>
      <c r="I28" s="28"/>
      <c r="J28" s="41"/>
      <c r="K28" s="28"/>
      <c r="L28" s="10"/>
      <c r="M28" s="4"/>
      <c r="N28" s="4"/>
      <c r="O28" s="4"/>
      <c r="P28" s="4"/>
    </row>
    <row r="29" spans="1:19" ht="24.95" customHeight="1" thickTop="1" thickBot="1">
      <c r="A29" s="9"/>
      <c r="B29" s="32"/>
      <c r="C29" s="33" t="s">
        <v>473</v>
      </c>
      <c r="D29" s="32"/>
      <c r="E29" s="34" t="s">
        <v>474</v>
      </c>
      <c r="F29" s="35" t="s">
        <v>44</v>
      </c>
      <c r="G29" s="36">
        <f>0+I26</f>
        <v>0</v>
      </c>
      <c r="H29" s="43" t="s">
        <v>45</v>
      </c>
      <c r="I29" s="37">
        <f>IF(COUNT(J26:J29)&gt;0,AVERAGE(J26:J29),0.21)</f>
        <v>0.21</v>
      </c>
      <c r="J29" s="43" t="s">
        <v>46</v>
      </c>
      <c r="K29" s="36">
        <f>ROUND(Q29*(1+I29),2)+R29</f>
        <v>0</v>
      </c>
      <c r="L29" s="10"/>
      <c r="M29" s="4"/>
      <c r="N29" s="4"/>
      <c r="O29" s="4"/>
      <c r="P29" s="4"/>
      <c r="Q29" s="1">
        <f>0+Q26</f>
        <v>0</v>
      </c>
      <c r="R29" s="1">
        <f>0+R26</f>
        <v>0</v>
      </c>
      <c r="S29" s="2">
        <f>Q29*(1+I29)+R29</f>
        <v>0</v>
      </c>
    </row>
    <row r="30" spans="1:19">
      <c r="A30" s="11"/>
      <c r="B30" s="5"/>
      <c r="C30" s="5"/>
      <c r="D30" s="5"/>
      <c r="E30" s="38"/>
      <c r="F30" s="5"/>
      <c r="G30" s="5"/>
      <c r="H30" s="44"/>
      <c r="I30" s="5"/>
      <c r="J30" s="44"/>
      <c r="K30" s="5"/>
      <c r="L30" s="12"/>
      <c r="M30" s="4"/>
      <c r="N30" s="4"/>
      <c r="O30" s="4"/>
      <c r="P30" s="4"/>
    </row>
  </sheetData>
  <autoFilter ref="A1:S1" xr:uid="{00000000-0009-0000-0000-00000C000000}">
    <filterColumn colId="3" showButton="0"/>
  </autoFilter>
  <mergeCells count="18">
    <mergeCell ref="A1:A2"/>
    <mergeCell ref="A3:F3"/>
    <mergeCell ref="B4:C5"/>
    <mergeCell ref="B6:I6"/>
    <mergeCell ref="D1:E2"/>
    <mergeCell ref="B8:C9"/>
    <mergeCell ref="A10:D10"/>
    <mergeCell ref="A11:G11"/>
    <mergeCell ref="A12:G12"/>
    <mergeCell ref="A13:G13"/>
    <mergeCell ref="B28:D28"/>
    <mergeCell ref="B25:K25"/>
    <mergeCell ref="B20:D20"/>
    <mergeCell ref="B17:C18"/>
    <mergeCell ref="B19:D19"/>
    <mergeCell ref="E19:F19"/>
    <mergeCell ref="B22:C23"/>
    <mergeCell ref="B27:D27"/>
  </mergeCells>
  <pageMargins left="0.39370078740157499" right="0.39370078740157499" top="0.59055118110236204" bottom="0.39370078740157499" header="0.196850393700787" footer="0.15748031496063"/>
  <pageSetup paperSize="9" fitToHeight="0" orientation="portrait"/>
  <headerFooter>
    <oddFooter>&amp;CLÁVKA PŘES LABE V NYMBURKU | Přeložka VO&amp;R&amp;P/&amp;N</oddFooter>
  </headerFooter>
  <drawing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12 - SO432NN_cm">
    <tabColor theme="5" tint="0.39997558519241921"/>
    <pageSetUpPr fitToPage="1"/>
  </sheetPr>
  <dimension ref="A1:S30"/>
  <sheetViews>
    <sheetView workbookViewId="0">
      <selection sqref="A1:A2"/>
    </sheetView>
  </sheetViews>
  <sheetFormatPr defaultRowHeight="12.75"/>
  <cols>
    <col min="1" max="1" width="4.7109375"/>
    <col min="2" max="2" width="5.7109375"/>
    <col min="3" max="3" width="11.7109375"/>
    <col min="4" max="4" width="5.7109375"/>
    <col min="5" max="5" width="80.7109375"/>
    <col min="6" max="6" width="20.7109375"/>
    <col min="7" max="11" width="22.7109375"/>
    <col min="12" max="12" width="4.7109375"/>
    <col min="17" max="19" width="0" hidden="1"/>
  </cols>
  <sheetData>
    <row r="1" spans="1:19">
      <c r="A1" s="276"/>
      <c r="B1" s="3"/>
      <c r="C1" s="3"/>
      <c r="D1" s="280" t="s">
        <v>0</v>
      </c>
      <c r="E1" s="276"/>
      <c r="F1" s="3"/>
      <c r="G1" s="3"/>
      <c r="H1" s="3"/>
      <c r="I1" s="3"/>
      <c r="J1" s="3"/>
      <c r="K1" s="3"/>
      <c r="L1" s="3"/>
      <c r="M1" s="4"/>
      <c r="N1" s="4"/>
      <c r="O1" s="4"/>
      <c r="P1" s="4"/>
    </row>
    <row r="2" spans="1:19">
      <c r="A2" s="276"/>
      <c r="B2" s="3"/>
      <c r="C2" s="3"/>
      <c r="D2" s="276"/>
      <c r="E2" s="276"/>
      <c r="F2" s="3"/>
      <c r="G2" s="3"/>
      <c r="H2" s="3"/>
      <c r="I2" s="3"/>
      <c r="J2" s="3"/>
      <c r="K2" s="3"/>
      <c r="L2" s="3"/>
      <c r="M2" s="4"/>
      <c r="N2" s="4"/>
      <c r="O2" s="4"/>
      <c r="P2" s="4"/>
    </row>
    <row r="3" spans="1:19" ht="24" customHeight="1">
      <c r="A3" s="278" t="s">
        <v>1</v>
      </c>
      <c r="B3" s="276"/>
      <c r="C3" s="276"/>
      <c r="D3" s="276"/>
      <c r="E3" s="276"/>
      <c r="F3" s="276"/>
      <c r="G3" s="3"/>
      <c r="H3" s="3"/>
      <c r="I3" s="3"/>
      <c r="J3" s="3"/>
      <c r="K3" s="3"/>
      <c r="L3" s="3"/>
      <c r="M3" s="4"/>
      <c r="N3" s="4"/>
      <c r="O3" s="4"/>
      <c r="P3" s="4"/>
    </row>
    <row r="4" spans="1:19" ht="6" customHeight="1">
      <c r="A4" s="5"/>
      <c r="B4" s="289" t="s">
        <v>2</v>
      </c>
      <c r="C4" s="290"/>
      <c r="D4" s="5"/>
      <c r="E4" s="5"/>
      <c r="F4" s="5"/>
      <c r="G4" s="5"/>
      <c r="H4" s="5"/>
      <c r="I4" s="5"/>
      <c r="J4" s="5"/>
      <c r="K4" s="5"/>
      <c r="L4" s="5"/>
      <c r="M4" s="4"/>
      <c r="N4" s="4"/>
      <c r="O4" s="4"/>
      <c r="P4" s="4"/>
    </row>
    <row r="5" spans="1:19" ht="6" customHeight="1">
      <c r="A5" s="6"/>
      <c r="B5" s="273"/>
      <c r="C5" s="273"/>
      <c r="D5" s="7"/>
      <c r="E5" s="7"/>
      <c r="F5" s="7"/>
      <c r="G5" s="7"/>
      <c r="H5" s="7"/>
      <c r="I5" s="7"/>
      <c r="J5" s="7"/>
      <c r="K5" s="7"/>
      <c r="L5" s="8"/>
      <c r="M5" s="4"/>
      <c r="N5" s="4"/>
      <c r="O5" s="4"/>
      <c r="P5" s="4"/>
    </row>
    <row r="6" spans="1:19" ht="33.950000000000003" customHeight="1">
      <c r="A6" s="9"/>
      <c r="B6" s="297" t="s">
        <v>3</v>
      </c>
      <c r="C6" s="276"/>
      <c r="D6" s="276"/>
      <c r="E6" s="276"/>
      <c r="F6" s="276"/>
      <c r="G6" s="276"/>
      <c r="H6" s="276"/>
      <c r="I6" s="276"/>
      <c r="J6" s="3"/>
      <c r="K6" s="3"/>
      <c r="L6" s="10"/>
      <c r="M6" s="4"/>
      <c r="N6" s="4"/>
      <c r="O6" s="4"/>
      <c r="P6" s="4"/>
    </row>
    <row r="7" spans="1:19">
      <c r="A7" s="11"/>
      <c r="B7" s="5"/>
      <c r="C7" s="5"/>
      <c r="D7" s="5"/>
      <c r="E7" s="5"/>
      <c r="F7" s="5"/>
      <c r="G7" s="5"/>
      <c r="H7" s="5"/>
      <c r="I7" s="5"/>
      <c r="J7" s="5"/>
      <c r="K7" s="5"/>
      <c r="L7" s="12"/>
      <c r="M7" s="4"/>
      <c r="N7" s="4"/>
      <c r="O7" s="4"/>
      <c r="P7" s="4"/>
    </row>
    <row r="8" spans="1:19" ht="14.1" customHeight="1">
      <c r="A8" s="5"/>
      <c r="B8" s="293" t="s">
        <v>4</v>
      </c>
      <c r="C8" s="290"/>
      <c r="D8" s="5"/>
      <c r="E8" s="5"/>
      <c r="F8" s="5"/>
      <c r="G8" s="5"/>
      <c r="H8" s="5"/>
      <c r="I8" s="5"/>
      <c r="J8" s="5"/>
      <c r="K8" s="5"/>
      <c r="L8" s="5"/>
      <c r="M8" s="4"/>
      <c r="N8" s="4"/>
      <c r="O8" s="4"/>
      <c r="P8" s="4"/>
    </row>
    <row r="9" spans="1:19" ht="8.1" customHeight="1">
      <c r="A9" s="6"/>
      <c r="B9" s="273"/>
      <c r="C9" s="273"/>
      <c r="D9" s="7"/>
      <c r="E9" s="7"/>
      <c r="F9" s="7"/>
      <c r="G9" s="7"/>
      <c r="H9" s="7"/>
      <c r="I9" s="7"/>
      <c r="J9" s="7"/>
      <c r="K9" s="7"/>
      <c r="L9" s="8"/>
      <c r="M9" s="4"/>
      <c r="N9" s="4"/>
      <c r="O9" s="4"/>
      <c r="P9" s="4"/>
    </row>
    <row r="10" spans="1:19">
      <c r="A10" s="275" t="s">
        <v>5</v>
      </c>
      <c r="B10" s="276"/>
      <c r="C10" s="294"/>
      <c r="D10" s="276"/>
      <c r="E10" s="3"/>
      <c r="F10" s="14"/>
      <c r="G10" s="3"/>
      <c r="H10" s="15" t="s">
        <v>88</v>
      </c>
      <c r="I10" s="16">
        <f>G29</f>
        <v>0</v>
      </c>
      <c r="J10" s="3"/>
      <c r="K10" s="3"/>
      <c r="L10" s="10"/>
      <c r="M10" s="4"/>
      <c r="N10" s="4"/>
      <c r="O10" s="4"/>
      <c r="P10" s="4"/>
    </row>
    <row r="11" spans="1:19" ht="15.95" customHeight="1">
      <c r="A11" s="277" t="s">
        <v>475</v>
      </c>
      <c r="B11" s="276"/>
      <c r="C11" s="276"/>
      <c r="D11" s="276"/>
      <c r="E11" s="276"/>
      <c r="F11" s="295"/>
      <c r="G11" s="276"/>
      <c r="H11" s="15" t="s">
        <v>89</v>
      </c>
      <c r="I11" s="16">
        <f>ROUND(I10*(1+Q11),2)</f>
        <v>0</v>
      </c>
      <c r="J11" s="3"/>
      <c r="K11" s="3"/>
      <c r="L11" s="10"/>
      <c r="M11" s="4"/>
      <c r="N11" s="4"/>
      <c r="O11" s="4"/>
      <c r="P11" s="4"/>
      <c r="Q11" s="1">
        <f>IF(SUM(J20:J20)&gt;0,ROUND(SUM(S20:S20)/SUM(J20:J20)-1,8),0)</f>
        <v>0</v>
      </c>
      <c r="R11" s="1">
        <f>AVERAGE(I29)</f>
        <v>0.21</v>
      </c>
      <c r="S11" s="1">
        <f>I10*(1+Q11)</f>
        <v>0</v>
      </c>
    </row>
    <row r="12" spans="1:19">
      <c r="A12" s="275" t="s">
        <v>7</v>
      </c>
      <c r="B12" s="276"/>
      <c r="C12" s="294"/>
      <c r="D12" s="276"/>
      <c r="E12" s="276"/>
      <c r="F12" s="296"/>
      <c r="G12" s="276"/>
      <c r="H12" s="3"/>
      <c r="I12" s="3"/>
      <c r="J12" s="3"/>
      <c r="K12" s="3"/>
      <c r="L12" s="10"/>
      <c r="M12" s="4"/>
      <c r="N12" s="4"/>
      <c r="O12" s="4"/>
      <c r="P12" s="4"/>
    </row>
    <row r="13" spans="1:19" ht="15.95" customHeight="1">
      <c r="A13" s="277">
        <f>Souhrn!A13</f>
        <v>0</v>
      </c>
      <c r="B13" s="276"/>
      <c r="C13" s="276"/>
      <c r="D13" s="276"/>
      <c r="E13" s="276"/>
      <c r="F13" s="295"/>
      <c r="G13" s="276"/>
      <c r="H13" s="15" t="s">
        <v>8</v>
      </c>
      <c r="I13" s="13">
        <f>Souhrn!E13</f>
        <v>0</v>
      </c>
      <c r="J13" s="3"/>
      <c r="K13" s="3"/>
      <c r="L13" s="10"/>
      <c r="M13" s="4"/>
      <c r="N13" s="4"/>
      <c r="O13" s="4"/>
      <c r="P13" s="4"/>
    </row>
    <row r="14" spans="1:19">
      <c r="A14" s="9"/>
      <c r="B14" s="3"/>
      <c r="C14" s="3"/>
      <c r="D14" s="3"/>
      <c r="E14" s="3"/>
      <c r="F14" s="3"/>
      <c r="G14" s="3"/>
      <c r="H14" s="15" t="s">
        <v>9</v>
      </c>
      <c r="I14" s="13">
        <f>Souhrn!E14</f>
        <v>0</v>
      </c>
      <c r="J14" s="3"/>
      <c r="K14" s="3"/>
      <c r="L14" s="10"/>
      <c r="M14" s="4"/>
      <c r="N14" s="4"/>
      <c r="O14" s="4"/>
      <c r="P14" s="4"/>
    </row>
    <row r="15" spans="1:19" hidden="1">
      <c r="A15" s="9"/>
      <c r="B15" s="3"/>
      <c r="C15" s="3"/>
      <c r="D15" s="3"/>
      <c r="E15" s="3"/>
      <c r="F15" s="3"/>
      <c r="G15" s="3"/>
      <c r="H15" s="3"/>
      <c r="I15" s="3"/>
      <c r="J15" s="3"/>
      <c r="K15" s="3"/>
      <c r="L15" s="10"/>
      <c r="M15" s="4"/>
      <c r="N15" s="4"/>
      <c r="O15" s="4"/>
      <c r="P15" s="4"/>
    </row>
    <row r="16" spans="1:19" ht="9.9499999999999993" customHeight="1">
      <c r="A16" s="11"/>
      <c r="B16" s="5"/>
      <c r="C16" s="5"/>
      <c r="D16" s="5"/>
      <c r="E16" s="5"/>
      <c r="F16" s="5"/>
      <c r="G16" s="5"/>
      <c r="H16" s="5"/>
      <c r="I16" s="5"/>
      <c r="J16" s="5"/>
      <c r="K16" s="5"/>
      <c r="L16" s="12"/>
      <c r="M16" s="4"/>
      <c r="N16" s="4"/>
      <c r="O16" s="4"/>
      <c r="P16" s="4"/>
    </row>
    <row r="17" spans="1:19" ht="14.1" customHeight="1">
      <c r="A17" s="5"/>
      <c r="B17" s="289" t="s">
        <v>10</v>
      </c>
      <c r="C17" s="290"/>
      <c r="D17" s="5"/>
      <c r="E17" s="5"/>
      <c r="F17" s="5"/>
      <c r="G17" s="5"/>
      <c r="H17" s="5"/>
      <c r="I17" s="5"/>
      <c r="J17" s="5"/>
      <c r="K17" s="5"/>
      <c r="L17" s="5"/>
      <c r="M17" s="4"/>
      <c r="N17" s="4"/>
      <c r="O17" s="4"/>
      <c r="P17" s="4"/>
    </row>
    <row r="18" spans="1:19" ht="6" customHeight="1">
      <c r="A18" s="6"/>
      <c r="B18" s="273"/>
      <c r="C18" s="273"/>
      <c r="D18" s="7"/>
      <c r="E18" s="7"/>
      <c r="F18" s="7"/>
      <c r="G18" s="7"/>
      <c r="H18" s="7"/>
      <c r="I18" s="7"/>
      <c r="J18" s="7"/>
      <c r="K18" s="7"/>
      <c r="L18" s="8"/>
      <c r="M18" s="4"/>
      <c r="N18" s="4"/>
      <c r="O18" s="4"/>
      <c r="P18" s="4"/>
    </row>
    <row r="19" spans="1:19" ht="18" customHeight="1">
      <c r="A19" s="9"/>
      <c r="B19" s="291" t="s">
        <v>11</v>
      </c>
      <c r="C19" s="291"/>
      <c r="D19" s="291"/>
      <c r="E19" s="291" t="s">
        <v>12</v>
      </c>
      <c r="F19" s="292"/>
      <c r="G19" s="19"/>
      <c r="H19" s="19"/>
      <c r="I19" s="19"/>
      <c r="J19" s="19" t="s">
        <v>13</v>
      </c>
      <c r="K19" s="19" t="s">
        <v>14</v>
      </c>
      <c r="L19" s="10"/>
      <c r="M19" s="4"/>
      <c r="N19" s="4"/>
      <c r="O19" s="4"/>
      <c r="P19" s="4"/>
    </row>
    <row r="20" spans="1:19">
      <c r="A20" s="9"/>
      <c r="B20" s="287" t="s">
        <v>479</v>
      </c>
      <c r="C20" s="276"/>
      <c r="D20" s="276"/>
      <c r="E20" s="20" t="s">
        <v>477</v>
      </c>
      <c r="F20" s="3"/>
      <c r="G20" s="3"/>
      <c r="H20" s="3"/>
      <c r="I20" s="3"/>
      <c r="J20" s="21">
        <f>G29</f>
        <v>0</v>
      </c>
      <c r="K20" s="21">
        <f>K29</f>
        <v>0</v>
      </c>
      <c r="L20" s="10"/>
      <c r="M20" s="4"/>
      <c r="N20" s="4"/>
      <c r="O20" s="4"/>
      <c r="P20" s="4"/>
      <c r="S20" s="1">
        <f>S29</f>
        <v>0</v>
      </c>
    </row>
    <row r="21" spans="1:19">
      <c r="A21" s="11"/>
      <c r="B21" s="5"/>
      <c r="C21" s="5"/>
      <c r="D21" s="5"/>
      <c r="E21" s="5"/>
      <c r="F21" s="5"/>
      <c r="G21" s="5"/>
      <c r="H21" s="5"/>
      <c r="I21" s="5"/>
      <c r="J21" s="5"/>
      <c r="K21" s="5"/>
      <c r="L21" s="12"/>
      <c r="M21" s="4"/>
      <c r="N21" s="4"/>
      <c r="O21" s="4"/>
      <c r="P21" s="4"/>
    </row>
    <row r="22" spans="1:19" ht="14.1" customHeight="1">
      <c r="A22" s="5"/>
      <c r="B22" s="289" t="s">
        <v>15</v>
      </c>
      <c r="C22" s="290"/>
      <c r="D22" s="5"/>
      <c r="E22" s="5"/>
      <c r="F22" s="5"/>
      <c r="G22" s="5"/>
      <c r="H22" s="5"/>
      <c r="I22" s="5"/>
      <c r="J22" s="5"/>
      <c r="K22" s="5"/>
      <c r="L22" s="5"/>
      <c r="M22" s="4"/>
      <c r="N22" s="4"/>
      <c r="O22" s="4"/>
      <c r="P22" s="4"/>
    </row>
    <row r="23" spans="1:19" ht="18" customHeight="1">
      <c r="A23" s="6"/>
      <c r="B23" s="273"/>
      <c r="C23" s="273"/>
      <c r="D23" s="7"/>
      <c r="E23" s="7"/>
      <c r="F23" s="7"/>
      <c r="G23" s="7"/>
      <c r="H23" s="7"/>
      <c r="I23" s="7"/>
      <c r="J23" s="7"/>
      <c r="K23" s="7"/>
      <c r="L23" s="8"/>
      <c r="M23" s="4"/>
      <c r="N23" s="4"/>
      <c r="O23" s="4"/>
      <c r="P23" s="4"/>
    </row>
    <row r="24" spans="1:19" ht="18" customHeight="1">
      <c r="A24" s="9"/>
      <c r="B24" s="17" t="s">
        <v>16</v>
      </c>
      <c r="C24" s="17" t="s">
        <v>11</v>
      </c>
      <c r="D24" s="17" t="s">
        <v>17</v>
      </c>
      <c r="E24" s="17" t="s">
        <v>12</v>
      </c>
      <c r="F24" s="18" t="s">
        <v>18</v>
      </c>
      <c r="G24" s="19" t="s">
        <v>19</v>
      </c>
      <c r="H24" s="19" t="s">
        <v>20</v>
      </c>
      <c r="I24" s="19" t="s">
        <v>13</v>
      </c>
      <c r="J24" s="18" t="s">
        <v>21</v>
      </c>
      <c r="K24" s="19" t="s">
        <v>14</v>
      </c>
      <c r="L24" s="10"/>
      <c r="M24" s="4"/>
      <c r="N24" s="4"/>
      <c r="O24" s="4"/>
      <c r="P24" s="4"/>
    </row>
    <row r="25" spans="1:19" ht="39.950000000000003" customHeight="1">
      <c r="A25" s="9"/>
      <c r="B25" s="288" t="s">
        <v>478</v>
      </c>
      <c r="C25" s="276"/>
      <c r="D25" s="276"/>
      <c r="E25" s="276"/>
      <c r="F25" s="276"/>
      <c r="G25" s="276"/>
      <c r="H25" s="286"/>
      <c r="I25" s="276"/>
      <c r="J25" s="286"/>
      <c r="K25" s="276"/>
      <c r="L25" s="10"/>
      <c r="M25" s="4"/>
      <c r="N25" s="4"/>
      <c r="O25" s="4"/>
      <c r="P25" s="4"/>
    </row>
    <row r="26" spans="1:19">
      <c r="A26" s="9"/>
      <c r="B26" s="22">
        <v>1</v>
      </c>
      <c r="C26" s="23" t="s">
        <v>476</v>
      </c>
      <c r="D26" s="23" t="s">
        <v>92</v>
      </c>
      <c r="E26" s="23" t="s">
        <v>477</v>
      </c>
      <c r="F26" s="24" t="s">
        <v>40</v>
      </c>
      <c r="G26" s="25">
        <f>ROUND(1,3)</f>
        <v>1</v>
      </c>
      <c r="H26" s="271">
        <f>ROUND('18 - SO432_podrobně'!N61,2)</f>
        <v>0</v>
      </c>
      <c r="I26" s="26">
        <f>ROUND(H26*G26,2)</f>
        <v>0</v>
      </c>
      <c r="J26" s="45" t="s">
        <v>25</v>
      </c>
      <c r="K26" s="26">
        <f>IF(ISNUMBER(J26),ROUND(I26*(J26+1),2),0)</f>
        <v>0</v>
      </c>
      <c r="L26" s="10"/>
      <c r="M26" s="4"/>
      <c r="N26" s="4"/>
      <c r="O26" s="4"/>
      <c r="P26" s="4"/>
      <c r="Q26" s="1">
        <f>IF(ISNUMBER(J26),IF(G26&gt;0,IF(H26&gt;0,I26,0),0),0)</f>
        <v>0</v>
      </c>
      <c r="R26" s="1">
        <f>IF(ISNUMBER(J26)=FALSE,I26,0)</f>
        <v>0</v>
      </c>
    </row>
    <row r="27" spans="1:19">
      <c r="A27" s="9"/>
      <c r="B27" s="283" t="s">
        <v>27</v>
      </c>
      <c r="C27" s="276"/>
      <c r="D27" s="276"/>
      <c r="E27" s="27" t="s">
        <v>25</v>
      </c>
      <c r="F27" s="3"/>
      <c r="G27" s="3"/>
      <c r="H27" s="39"/>
      <c r="I27" s="3"/>
      <c r="J27" s="39"/>
      <c r="K27" s="3"/>
      <c r="L27" s="10"/>
      <c r="M27" s="4"/>
      <c r="N27" s="4"/>
      <c r="O27" s="4"/>
      <c r="P27" s="4"/>
    </row>
    <row r="28" spans="1:19" ht="13.5" thickBot="1">
      <c r="A28" s="9"/>
      <c r="B28" s="281" t="s">
        <v>28</v>
      </c>
      <c r="C28" s="282"/>
      <c r="D28" s="282"/>
      <c r="E28" s="29" t="s">
        <v>25</v>
      </c>
      <c r="F28" s="28"/>
      <c r="G28" s="28"/>
      <c r="H28" s="41"/>
      <c r="I28" s="28"/>
      <c r="J28" s="41"/>
      <c r="K28" s="28"/>
      <c r="L28" s="10"/>
      <c r="M28" s="4"/>
      <c r="N28" s="4"/>
      <c r="O28" s="4"/>
      <c r="P28" s="4"/>
    </row>
    <row r="29" spans="1:19" ht="24.95" customHeight="1" thickTop="1" thickBot="1">
      <c r="A29" s="9"/>
      <c r="B29" s="32"/>
      <c r="C29" s="33" t="s">
        <v>479</v>
      </c>
      <c r="D29" s="32"/>
      <c r="E29" s="34" t="s">
        <v>477</v>
      </c>
      <c r="F29" s="35" t="s">
        <v>44</v>
      </c>
      <c r="G29" s="36">
        <f>0+I26</f>
        <v>0</v>
      </c>
      <c r="H29" s="43" t="s">
        <v>45</v>
      </c>
      <c r="I29" s="37">
        <f>IF(COUNT(J26:J29)&gt;0,AVERAGE(J26:J29),0.21)</f>
        <v>0.21</v>
      </c>
      <c r="J29" s="43" t="s">
        <v>46</v>
      </c>
      <c r="K29" s="36">
        <f>ROUND(Q29*(1+I29),2)+R29</f>
        <v>0</v>
      </c>
      <c r="L29" s="10"/>
      <c r="M29" s="4"/>
      <c r="N29" s="4"/>
      <c r="O29" s="4"/>
      <c r="P29" s="4"/>
      <c r="Q29" s="1">
        <f>0+Q26</f>
        <v>0</v>
      </c>
      <c r="R29" s="1">
        <f>0+R26</f>
        <v>0</v>
      </c>
      <c r="S29" s="2">
        <f>Q29*(1+I29)+R29</f>
        <v>0</v>
      </c>
    </row>
    <row r="30" spans="1:19">
      <c r="A30" s="11"/>
      <c r="B30" s="5"/>
      <c r="C30" s="5"/>
      <c r="D30" s="5"/>
      <c r="E30" s="38"/>
      <c r="F30" s="5"/>
      <c r="G30" s="5"/>
      <c r="H30" s="44"/>
      <c r="I30" s="5"/>
      <c r="J30" s="44"/>
      <c r="K30" s="5"/>
      <c r="L30" s="12"/>
      <c r="M30" s="4"/>
      <c r="N30" s="4"/>
      <c r="O30" s="4"/>
      <c r="P30" s="4"/>
    </row>
  </sheetData>
  <autoFilter ref="A1:S1" xr:uid="{00000000-0009-0000-0000-00000D000000}">
    <filterColumn colId="3" showButton="0"/>
  </autoFilter>
  <mergeCells count="18">
    <mergeCell ref="A1:A2"/>
    <mergeCell ref="A3:F3"/>
    <mergeCell ref="B4:C5"/>
    <mergeCell ref="B6:I6"/>
    <mergeCell ref="D1:E2"/>
    <mergeCell ref="B8:C9"/>
    <mergeCell ref="A10:D10"/>
    <mergeCell ref="A11:G11"/>
    <mergeCell ref="A12:G12"/>
    <mergeCell ref="A13:G13"/>
    <mergeCell ref="B28:D28"/>
    <mergeCell ref="B25:K25"/>
    <mergeCell ref="B20:D20"/>
    <mergeCell ref="B17:C18"/>
    <mergeCell ref="B19:D19"/>
    <mergeCell ref="E19:F19"/>
    <mergeCell ref="B22:C23"/>
    <mergeCell ref="B27:D27"/>
  </mergeCells>
  <pageMargins left="0.39370078740157499" right="0.39370078740157499" top="0.59055118110236204" bottom="0.39370078740157499" header="0.196850393700787" footer="0.15748031496063"/>
  <pageSetup paperSize="9" fitToHeight="0" orientation="portrait"/>
  <headerFooter>
    <oddFooter>&amp;CLÁVKA PŘES LABE V NYMBURKU | Osvětlení lávky a oblouku&amp;R&amp;P/&amp;N</oddFooter>
  </headerFooter>
  <drawing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13 - 801.1.1.NN_cm">
    <tabColor theme="5" tint="0.39997558519241921"/>
    <pageSetUpPr fitToPage="1"/>
  </sheetPr>
  <dimension ref="A1:S30"/>
  <sheetViews>
    <sheetView workbookViewId="0">
      <selection sqref="A1:A2"/>
    </sheetView>
  </sheetViews>
  <sheetFormatPr defaultRowHeight="12.75"/>
  <cols>
    <col min="1" max="1" width="4.7109375"/>
    <col min="2" max="2" width="5.7109375"/>
    <col min="3" max="3" width="11.7109375"/>
    <col min="4" max="4" width="5.7109375"/>
    <col min="5" max="5" width="80.7109375"/>
    <col min="6" max="6" width="20.7109375"/>
    <col min="7" max="11" width="22.7109375"/>
    <col min="12" max="12" width="4.7109375"/>
    <col min="17" max="19" width="0" hidden="1"/>
  </cols>
  <sheetData>
    <row r="1" spans="1:19">
      <c r="A1" s="276"/>
      <c r="B1" s="3"/>
      <c r="C1" s="3"/>
      <c r="D1" s="280" t="s">
        <v>0</v>
      </c>
      <c r="E1" s="276"/>
      <c r="F1" s="3"/>
      <c r="G1" s="3"/>
      <c r="H1" s="3"/>
      <c r="I1" s="3"/>
      <c r="J1" s="3"/>
      <c r="K1" s="3"/>
      <c r="L1" s="3"/>
      <c r="M1" s="4"/>
      <c r="N1" s="4"/>
      <c r="O1" s="4"/>
      <c r="P1" s="4"/>
    </row>
    <row r="2" spans="1:19">
      <c r="A2" s="276"/>
      <c r="B2" s="3"/>
      <c r="C2" s="3"/>
      <c r="D2" s="276"/>
      <c r="E2" s="276"/>
      <c r="F2" s="3"/>
      <c r="G2" s="3"/>
      <c r="H2" s="3"/>
      <c r="I2" s="3"/>
      <c r="J2" s="3"/>
      <c r="K2" s="3"/>
      <c r="L2" s="3"/>
      <c r="M2" s="4"/>
      <c r="N2" s="4"/>
      <c r="O2" s="4"/>
      <c r="P2" s="4"/>
    </row>
    <row r="3" spans="1:19" ht="24" customHeight="1">
      <c r="A3" s="278" t="s">
        <v>1</v>
      </c>
      <c r="B3" s="276"/>
      <c r="C3" s="276"/>
      <c r="D3" s="276"/>
      <c r="E3" s="276"/>
      <c r="F3" s="276"/>
      <c r="G3" s="3"/>
      <c r="H3" s="3"/>
      <c r="I3" s="3"/>
      <c r="J3" s="3"/>
      <c r="K3" s="3"/>
      <c r="L3" s="3"/>
      <c r="M3" s="4"/>
      <c r="N3" s="4"/>
      <c r="O3" s="4"/>
      <c r="P3" s="4"/>
    </row>
    <row r="4" spans="1:19" ht="6" customHeight="1">
      <c r="A4" s="5"/>
      <c r="B4" s="289" t="s">
        <v>2</v>
      </c>
      <c r="C4" s="290"/>
      <c r="D4" s="5"/>
      <c r="E4" s="5"/>
      <c r="F4" s="5"/>
      <c r="G4" s="5"/>
      <c r="H4" s="5"/>
      <c r="I4" s="5"/>
      <c r="J4" s="5"/>
      <c r="K4" s="5"/>
      <c r="L4" s="5"/>
      <c r="M4" s="4"/>
      <c r="N4" s="4"/>
      <c r="O4" s="4"/>
      <c r="P4" s="4"/>
    </row>
    <row r="5" spans="1:19" ht="6" customHeight="1">
      <c r="A5" s="6"/>
      <c r="B5" s="273"/>
      <c r="C5" s="273"/>
      <c r="D5" s="7"/>
      <c r="E5" s="7"/>
      <c r="F5" s="7"/>
      <c r="G5" s="7"/>
      <c r="H5" s="7"/>
      <c r="I5" s="7"/>
      <c r="J5" s="7"/>
      <c r="K5" s="7"/>
      <c r="L5" s="8"/>
      <c r="M5" s="4"/>
      <c r="N5" s="4"/>
      <c r="O5" s="4"/>
      <c r="P5" s="4"/>
    </row>
    <row r="6" spans="1:19" ht="33.950000000000003" customHeight="1">
      <c r="A6" s="9"/>
      <c r="B6" s="297" t="s">
        <v>3</v>
      </c>
      <c r="C6" s="276"/>
      <c r="D6" s="276"/>
      <c r="E6" s="276"/>
      <c r="F6" s="276"/>
      <c r="G6" s="276"/>
      <c r="H6" s="276"/>
      <c r="I6" s="276"/>
      <c r="J6" s="3"/>
      <c r="K6" s="3"/>
      <c r="L6" s="10"/>
      <c r="M6" s="4"/>
      <c r="N6" s="4"/>
      <c r="O6" s="4"/>
      <c r="P6" s="4"/>
    </row>
    <row r="7" spans="1:19">
      <c r="A7" s="11"/>
      <c r="B7" s="5"/>
      <c r="C7" s="5"/>
      <c r="D7" s="5"/>
      <c r="E7" s="5"/>
      <c r="F7" s="5"/>
      <c r="G7" s="5"/>
      <c r="H7" s="5"/>
      <c r="I7" s="5"/>
      <c r="J7" s="5"/>
      <c r="K7" s="5"/>
      <c r="L7" s="12"/>
      <c r="M7" s="4"/>
      <c r="N7" s="4"/>
      <c r="O7" s="4"/>
      <c r="P7" s="4"/>
    </row>
    <row r="8" spans="1:19" ht="14.1" customHeight="1">
      <c r="A8" s="5"/>
      <c r="B8" s="293" t="s">
        <v>4</v>
      </c>
      <c r="C8" s="290"/>
      <c r="D8" s="5"/>
      <c r="E8" s="5"/>
      <c r="F8" s="5"/>
      <c r="G8" s="5"/>
      <c r="H8" s="5"/>
      <c r="I8" s="5"/>
      <c r="J8" s="5"/>
      <c r="K8" s="5"/>
      <c r="L8" s="5"/>
      <c r="M8" s="4"/>
      <c r="N8" s="4"/>
      <c r="O8" s="4"/>
      <c r="P8" s="4"/>
    </row>
    <row r="9" spans="1:19" ht="8.1" customHeight="1">
      <c r="A9" s="6"/>
      <c r="B9" s="273"/>
      <c r="C9" s="273"/>
      <c r="D9" s="7"/>
      <c r="E9" s="7"/>
      <c r="F9" s="7"/>
      <c r="G9" s="7"/>
      <c r="H9" s="7"/>
      <c r="I9" s="7"/>
      <c r="J9" s="7"/>
      <c r="K9" s="7"/>
      <c r="L9" s="8"/>
      <c r="M9" s="4"/>
      <c r="N9" s="4"/>
      <c r="O9" s="4"/>
      <c r="P9" s="4"/>
    </row>
    <row r="10" spans="1:19">
      <c r="A10" s="275" t="s">
        <v>5</v>
      </c>
      <c r="B10" s="276"/>
      <c r="C10" s="294"/>
      <c r="D10" s="276"/>
      <c r="E10" s="3"/>
      <c r="F10" s="14"/>
      <c r="G10" s="3"/>
      <c r="H10" s="15" t="s">
        <v>88</v>
      </c>
      <c r="I10" s="16">
        <f>G29</f>
        <v>0</v>
      </c>
      <c r="J10" s="3"/>
      <c r="K10" s="3"/>
      <c r="L10" s="10"/>
      <c r="M10" s="4"/>
      <c r="N10" s="4"/>
      <c r="O10" s="4"/>
      <c r="P10" s="4"/>
    </row>
    <row r="11" spans="1:19" ht="15.95" customHeight="1">
      <c r="A11" s="277" t="s">
        <v>480</v>
      </c>
      <c r="B11" s="276"/>
      <c r="C11" s="276"/>
      <c r="D11" s="276"/>
      <c r="E11" s="276"/>
      <c r="F11" s="295"/>
      <c r="G11" s="276"/>
      <c r="H11" s="15" t="s">
        <v>89</v>
      </c>
      <c r="I11" s="16">
        <f>ROUND(I10*(1+Q11),2)</f>
        <v>0</v>
      </c>
      <c r="J11" s="3"/>
      <c r="K11" s="3"/>
      <c r="L11" s="10"/>
      <c r="M11" s="4"/>
      <c r="N11" s="4"/>
      <c r="O11" s="4"/>
      <c r="P11" s="4"/>
      <c r="Q11" s="1">
        <f>IF(SUM(J20:J20)&gt;0,ROUND(SUM(S20:S20)/SUM(J20:J20)-1,8),0)</f>
        <v>0</v>
      </c>
      <c r="R11" s="1">
        <f>AVERAGE(I29)</f>
        <v>0.21</v>
      </c>
      <c r="S11" s="1">
        <f>I10*(1+Q11)</f>
        <v>0</v>
      </c>
    </row>
    <row r="12" spans="1:19">
      <c r="A12" s="275" t="s">
        <v>7</v>
      </c>
      <c r="B12" s="276"/>
      <c r="C12" s="294"/>
      <c r="D12" s="276"/>
      <c r="E12" s="276"/>
      <c r="F12" s="296"/>
      <c r="G12" s="276"/>
      <c r="H12" s="3"/>
      <c r="I12" s="3"/>
      <c r="J12" s="3"/>
      <c r="K12" s="3"/>
      <c r="L12" s="10"/>
      <c r="M12" s="4"/>
      <c r="N12" s="4"/>
      <c r="O12" s="4"/>
      <c r="P12" s="4"/>
    </row>
    <row r="13" spans="1:19" ht="15.95" customHeight="1">
      <c r="A13" s="277">
        <f>Souhrn!A13</f>
        <v>0</v>
      </c>
      <c r="B13" s="276"/>
      <c r="C13" s="276"/>
      <c r="D13" s="276"/>
      <c r="E13" s="276"/>
      <c r="F13" s="295"/>
      <c r="G13" s="276"/>
      <c r="H13" s="15" t="s">
        <v>8</v>
      </c>
      <c r="I13" s="13">
        <f>Souhrn!E13</f>
        <v>0</v>
      </c>
      <c r="J13" s="3"/>
      <c r="K13" s="3"/>
      <c r="L13" s="10"/>
      <c r="M13" s="4"/>
      <c r="N13" s="4"/>
      <c r="O13" s="4"/>
      <c r="P13" s="4"/>
    </row>
    <row r="14" spans="1:19">
      <c r="A14" s="9"/>
      <c r="B14" s="3"/>
      <c r="C14" s="3"/>
      <c r="D14" s="3"/>
      <c r="E14" s="3"/>
      <c r="F14" s="3"/>
      <c r="G14" s="3"/>
      <c r="H14" s="15" t="s">
        <v>9</v>
      </c>
      <c r="I14" s="13">
        <f>Souhrn!E14</f>
        <v>0</v>
      </c>
      <c r="J14" s="3"/>
      <c r="K14" s="3"/>
      <c r="L14" s="10"/>
      <c r="M14" s="4"/>
      <c r="N14" s="4"/>
      <c r="O14" s="4"/>
      <c r="P14" s="4"/>
    </row>
    <row r="15" spans="1:19" hidden="1">
      <c r="A15" s="9"/>
      <c r="B15" s="3"/>
      <c r="C15" s="3"/>
      <c r="D15" s="3"/>
      <c r="E15" s="3"/>
      <c r="F15" s="3"/>
      <c r="G15" s="3"/>
      <c r="H15" s="3"/>
      <c r="I15" s="3"/>
      <c r="J15" s="3"/>
      <c r="K15" s="3"/>
      <c r="L15" s="10"/>
      <c r="M15" s="4"/>
      <c r="N15" s="4"/>
      <c r="O15" s="4"/>
      <c r="P15" s="4"/>
    </row>
    <row r="16" spans="1:19" ht="9.9499999999999993" customHeight="1">
      <c r="A16" s="11"/>
      <c r="B16" s="5"/>
      <c r="C16" s="5"/>
      <c r="D16" s="5"/>
      <c r="E16" s="5"/>
      <c r="F16" s="5"/>
      <c r="G16" s="5"/>
      <c r="H16" s="5"/>
      <c r="I16" s="5"/>
      <c r="J16" s="5"/>
      <c r="K16" s="5"/>
      <c r="L16" s="12"/>
      <c r="M16" s="4"/>
      <c r="N16" s="4"/>
      <c r="O16" s="4"/>
      <c r="P16" s="4"/>
    </row>
    <row r="17" spans="1:19" ht="14.1" customHeight="1">
      <c r="A17" s="5"/>
      <c r="B17" s="289" t="s">
        <v>10</v>
      </c>
      <c r="C17" s="290"/>
      <c r="D17" s="5"/>
      <c r="E17" s="5"/>
      <c r="F17" s="5"/>
      <c r="G17" s="5"/>
      <c r="H17" s="5"/>
      <c r="I17" s="5"/>
      <c r="J17" s="5"/>
      <c r="K17" s="5"/>
      <c r="L17" s="5"/>
      <c r="M17" s="4"/>
      <c r="N17" s="4"/>
      <c r="O17" s="4"/>
      <c r="P17" s="4"/>
    </row>
    <row r="18" spans="1:19" ht="6" customHeight="1">
      <c r="A18" s="6"/>
      <c r="B18" s="273"/>
      <c r="C18" s="273"/>
      <c r="D18" s="7"/>
      <c r="E18" s="7"/>
      <c r="F18" s="7"/>
      <c r="G18" s="7"/>
      <c r="H18" s="7"/>
      <c r="I18" s="7"/>
      <c r="J18" s="7"/>
      <c r="K18" s="7"/>
      <c r="L18" s="8"/>
      <c r="M18" s="4"/>
      <c r="N18" s="4"/>
      <c r="O18" s="4"/>
      <c r="P18" s="4"/>
    </row>
    <row r="19" spans="1:19" ht="18" customHeight="1">
      <c r="A19" s="9"/>
      <c r="B19" s="291" t="s">
        <v>11</v>
      </c>
      <c r="C19" s="291"/>
      <c r="D19" s="291"/>
      <c r="E19" s="291" t="s">
        <v>12</v>
      </c>
      <c r="F19" s="292"/>
      <c r="G19" s="19"/>
      <c r="H19" s="19"/>
      <c r="I19" s="19"/>
      <c r="J19" s="19" t="s">
        <v>13</v>
      </c>
      <c r="K19" s="19" t="s">
        <v>14</v>
      </c>
      <c r="L19" s="10"/>
      <c r="M19" s="4"/>
      <c r="N19" s="4"/>
      <c r="O19" s="4"/>
      <c r="P19" s="4"/>
    </row>
    <row r="20" spans="1:19">
      <c r="A20" s="9"/>
      <c r="B20" s="287" t="s">
        <v>483</v>
      </c>
      <c r="C20" s="276"/>
      <c r="D20" s="276"/>
      <c r="E20" s="20" t="s">
        <v>482</v>
      </c>
      <c r="F20" s="3"/>
      <c r="G20" s="3"/>
      <c r="H20" s="3"/>
      <c r="I20" s="3"/>
      <c r="J20" s="21">
        <f>G29</f>
        <v>0</v>
      </c>
      <c r="K20" s="21">
        <f>K29</f>
        <v>0</v>
      </c>
      <c r="L20" s="10"/>
      <c r="M20" s="4"/>
      <c r="N20" s="4"/>
      <c r="O20" s="4"/>
      <c r="P20" s="4"/>
      <c r="S20" s="1">
        <f>S29</f>
        <v>0</v>
      </c>
    </row>
    <row r="21" spans="1:19">
      <c r="A21" s="11"/>
      <c r="B21" s="5"/>
      <c r="C21" s="5"/>
      <c r="D21" s="5"/>
      <c r="E21" s="5"/>
      <c r="F21" s="5"/>
      <c r="G21" s="5"/>
      <c r="H21" s="5"/>
      <c r="I21" s="5"/>
      <c r="J21" s="5"/>
      <c r="K21" s="5"/>
      <c r="L21" s="12"/>
      <c r="M21" s="4"/>
      <c r="N21" s="4"/>
      <c r="O21" s="4"/>
      <c r="P21" s="4"/>
    </row>
    <row r="22" spans="1:19" ht="14.1" customHeight="1">
      <c r="A22" s="5"/>
      <c r="B22" s="289" t="s">
        <v>15</v>
      </c>
      <c r="C22" s="290"/>
      <c r="D22" s="5"/>
      <c r="E22" s="5"/>
      <c r="F22" s="5"/>
      <c r="G22" s="5"/>
      <c r="H22" s="5"/>
      <c r="I22" s="5"/>
      <c r="J22" s="5"/>
      <c r="K22" s="5"/>
      <c r="L22" s="5"/>
      <c r="M22" s="4"/>
      <c r="N22" s="4"/>
      <c r="O22" s="4"/>
      <c r="P22" s="4"/>
    </row>
    <row r="23" spans="1:19" ht="18" customHeight="1">
      <c r="A23" s="6"/>
      <c r="B23" s="273"/>
      <c r="C23" s="273"/>
      <c r="D23" s="7"/>
      <c r="E23" s="7"/>
      <c r="F23" s="7"/>
      <c r="G23" s="7"/>
      <c r="H23" s="7"/>
      <c r="I23" s="7"/>
      <c r="J23" s="7"/>
      <c r="K23" s="7"/>
      <c r="L23" s="8"/>
      <c r="M23" s="4"/>
      <c r="N23" s="4"/>
      <c r="O23" s="4"/>
      <c r="P23" s="4"/>
    </row>
    <row r="24" spans="1:19" ht="18" customHeight="1">
      <c r="A24" s="9"/>
      <c r="B24" s="17" t="s">
        <v>16</v>
      </c>
      <c r="C24" s="17" t="s">
        <v>11</v>
      </c>
      <c r="D24" s="17" t="s">
        <v>17</v>
      </c>
      <c r="E24" s="17" t="s">
        <v>12</v>
      </c>
      <c r="F24" s="18" t="s">
        <v>18</v>
      </c>
      <c r="G24" s="19" t="s">
        <v>19</v>
      </c>
      <c r="H24" s="19" t="s">
        <v>20</v>
      </c>
      <c r="I24" s="19" t="s">
        <v>13</v>
      </c>
      <c r="J24" s="18" t="s">
        <v>21</v>
      </c>
      <c r="K24" s="19" t="s">
        <v>14</v>
      </c>
      <c r="L24" s="10"/>
      <c r="M24" s="4"/>
      <c r="N24" s="4"/>
      <c r="O24" s="4"/>
      <c r="P24" s="4"/>
    </row>
    <row r="25" spans="1:19" ht="39.950000000000003" customHeight="1">
      <c r="A25" s="9"/>
      <c r="B25" s="288" t="s">
        <v>480</v>
      </c>
      <c r="C25" s="276"/>
      <c r="D25" s="276"/>
      <c r="E25" s="276"/>
      <c r="F25" s="276"/>
      <c r="G25" s="276"/>
      <c r="H25" s="286"/>
      <c r="I25" s="276"/>
      <c r="J25" s="286"/>
      <c r="K25" s="276"/>
      <c r="L25" s="10"/>
      <c r="M25" s="4"/>
      <c r="N25" s="4"/>
      <c r="O25" s="4"/>
      <c r="P25" s="4"/>
    </row>
    <row r="26" spans="1:19">
      <c r="A26" s="9"/>
      <c r="B26" s="22">
        <v>1</v>
      </c>
      <c r="C26" s="23" t="s">
        <v>481</v>
      </c>
      <c r="D26" s="23" t="s">
        <v>92</v>
      </c>
      <c r="E26" s="23" t="s">
        <v>482</v>
      </c>
      <c r="F26" s="24" t="s">
        <v>40</v>
      </c>
      <c r="G26" s="25">
        <f>ROUND(1,3)</f>
        <v>1</v>
      </c>
      <c r="H26" s="271">
        <f>ROUND('SO 801.1.1 - Hrubé terénn...'!J96,2)</f>
        <v>0</v>
      </c>
      <c r="I26" s="26">
        <f>ROUND(H26*G26,2)</f>
        <v>0</v>
      </c>
      <c r="J26" s="45" t="s">
        <v>25</v>
      </c>
      <c r="K26" s="26">
        <f>IF(ISNUMBER(J26),ROUND(I26*(J26+1),2),0)</f>
        <v>0</v>
      </c>
      <c r="L26" s="10"/>
      <c r="M26" s="4"/>
      <c r="N26" s="4"/>
      <c r="O26" s="4"/>
      <c r="P26" s="4"/>
      <c r="Q26" s="1">
        <f>IF(ISNUMBER(J26),IF(G26&gt;0,IF(H26&gt;0,I26,0),0),0)</f>
        <v>0</v>
      </c>
      <c r="R26" s="1">
        <f>IF(ISNUMBER(J26)=FALSE,I26,0)</f>
        <v>0</v>
      </c>
    </row>
    <row r="27" spans="1:19">
      <c r="A27" s="9"/>
      <c r="B27" s="283" t="s">
        <v>27</v>
      </c>
      <c r="C27" s="276"/>
      <c r="D27" s="276"/>
      <c r="E27" s="27" t="s">
        <v>25</v>
      </c>
      <c r="F27" s="3"/>
      <c r="G27" s="3"/>
      <c r="H27" s="39"/>
      <c r="I27" s="3"/>
      <c r="J27" s="39"/>
      <c r="K27" s="3"/>
      <c r="L27" s="10"/>
      <c r="M27" s="4"/>
      <c r="N27" s="4"/>
      <c r="O27" s="4"/>
      <c r="P27" s="4"/>
    </row>
    <row r="28" spans="1:19" ht="13.5" thickBot="1">
      <c r="A28" s="9"/>
      <c r="B28" s="281" t="s">
        <v>28</v>
      </c>
      <c r="C28" s="282"/>
      <c r="D28" s="282"/>
      <c r="E28" s="29" t="s">
        <v>25</v>
      </c>
      <c r="F28" s="28"/>
      <c r="G28" s="28"/>
      <c r="H28" s="41"/>
      <c r="I28" s="28"/>
      <c r="J28" s="41"/>
      <c r="K28" s="28"/>
      <c r="L28" s="10"/>
      <c r="M28" s="4"/>
      <c r="N28" s="4"/>
      <c r="O28" s="4"/>
      <c r="P28" s="4"/>
    </row>
    <row r="29" spans="1:19" ht="24.95" customHeight="1" thickTop="1" thickBot="1">
      <c r="A29" s="9"/>
      <c r="B29" s="32"/>
      <c r="C29" s="33" t="s">
        <v>483</v>
      </c>
      <c r="D29" s="32"/>
      <c r="E29" s="34" t="s">
        <v>482</v>
      </c>
      <c r="F29" s="35" t="s">
        <v>44</v>
      </c>
      <c r="G29" s="36">
        <f>0+I26</f>
        <v>0</v>
      </c>
      <c r="H29" s="43" t="s">
        <v>45</v>
      </c>
      <c r="I29" s="37">
        <f>IF(COUNT(J26:J29)&gt;0,AVERAGE(J26:J29),0.21)</f>
        <v>0.21</v>
      </c>
      <c r="J29" s="43" t="s">
        <v>46</v>
      </c>
      <c r="K29" s="36">
        <f>ROUND(Q29*(1+I29),2)+R29</f>
        <v>0</v>
      </c>
      <c r="L29" s="10"/>
      <c r="M29" s="4"/>
      <c r="N29" s="4"/>
      <c r="O29" s="4"/>
      <c r="P29" s="4"/>
      <c r="Q29" s="1">
        <f>0+Q26</f>
        <v>0</v>
      </c>
      <c r="R29" s="1">
        <f>0+R26</f>
        <v>0</v>
      </c>
      <c r="S29" s="2">
        <f>Q29*(1+I29)+R29</f>
        <v>0</v>
      </c>
    </row>
    <row r="30" spans="1:19">
      <c r="A30" s="11"/>
      <c r="B30" s="5"/>
      <c r="C30" s="5"/>
      <c r="D30" s="5"/>
      <c r="E30" s="38"/>
      <c r="F30" s="5"/>
      <c r="G30" s="5"/>
      <c r="H30" s="44"/>
      <c r="I30" s="5"/>
      <c r="J30" s="44"/>
      <c r="K30" s="5"/>
      <c r="L30" s="12"/>
      <c r="M30" s="4"/>
      <c r="N30" s="4"/>
      <c r="O30" s="4"/>
      <c r="P30" s="4"/>
    </row>
  </sheetData>
  <autoFilter ref="A1:S1" xr:uid="{00000000-0009-0000-0000-00000E000000}">
    <filterColumn colId="3" showButton="0"/>
  </autoFilter>
  <mergeCells count="18">
    <mergeCell ref="A1:A2"/>
    <mergeCell ref="A3:F3"/>
    <mergeCell ref="B4:C5"/>
    <mergeCell ref="B6:I6"/>
    <mergeCell ref="D1:E2"/>
    <mergeCell ref="B8:C9"/>
    <mergeCell ref="A10:D10"/>
    <mergeCell ref="A11:G11"/>
    <mergeCell ref="A12:G12"/>
    <mergeCell ref="A13:G13"/>
    <mergeCell ref="B28:D28"/>
    <mergeCell ref="B25:K25"/>
    <mergeCell ref="B20:D20"/>
    <mergeCell ref="B17:C18"/>
    <mergeCell ref="B19:D19"/>
    <mergeCell ref="E19:F19"/>
    <mergeCell ref="B22:C23"/>
    <mergeCell ref="B27:D27"/>
  </mergeCells>
  <pageMargins left="0.39370078740157499" right="0.39370078740157499" top="0.59055118110236204" bottom="0.39370078740157499" header="0.196850393700787" footer="0.15748031496063"/>
  <pageSetup paperSize="9" fitToHeight="0" orientation="portrait"/>
  <headerFooter>
    <oddFooter>&amp;CLÁVKA PŘES LABE V NYMBURKU | Hrubé terénní úpravy a doplnění ornice&amp;R&amp;P/&amp;N</oddFooter>
  </headerFooter>
  <drawing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14 - 801.1.2NN_cm">
    <tabColor theme="5" tint="0.39997558519241921"/>
    <pageSetUpPr fitToPage="1"/>
  </sheetPr>
  <dimension ref="A1:S30"/>
  <sheetViews>
    <sheetView workbookViewId="0">
      <selection sqref="A1:A2"/>
    </sheetView>
  </sheetViews>
  <sheetFormatPr defaultRowHeight="12.75"/>
  <cols>
    <col min="1" max="1" width="4.7109375"/>
    <col min="2" max="2" width="5.7109375"/>
    <col min="3" max="3" width="11.7109375"/>
    <col min="4" max="4" width="5.7109375"/>
    <col min="5" max="5" width="80.7109375"/>
    <col min="6" max="6" width="20.7109375"/>
    <col min="7" max="11" width="22.7109375"/>
    <col min="12" max="12" width="4.7109375"/>
    <col min="17" max="19" width="0" hidden="1"/>
  </cols>
  <sheetData>
    <row r="1" spans="1:19">
      <c r="A1" s="276"/>
      <c r="B1" s="3"/>
      <c r="C1" s="3"/>
      <c r="D1" s="280" t="s">
        <v>0</v>
      </c>
      <c r="E1" s="276"/>
      <c r="F1" s="3"/>
      <c r="G1" s="3"/>
      <c r="H1" s="3"/>
      <c r="I1" s="3"/>
      <c r="J1" s="3"/>
      <c r="K1" s="3"/>
      <c r="L1" s="3"/>
      <c r="M1" s="4"/>
      <c r="N1" s="4"/>
      <c r="O1" s="4"/>
      <c r="P1" s="4"/>
    </row>
    <row r="2" spans="1:19">
      <c r="A2" s="276"/>
      <c r="B2" s="3"/>
      <c r="C2" s="3"/>
      <c r="D2" s="276"/>
      <c r="E2" s="276"/>
      <c r="F2" s="3"/>
      <c r="G2" s="3"/>
      <c r="H2" s="3"/>
      <c r="I2" s="3"/>
      <c r="J2" s="3"/>
      <c r="K2" s="3"/>
      <c r="L2" s="3"/>
      <c r="M2" s="4"/>
      <c r="N2" s="4"/>
      <c r="O2" s="4"/>
      <c r="P2" s="4"/>
    </row>
    <row r="3" spans="1:19" ht="24" customHeight="1">
      <c r="A3" s="278" t="s">
        <v>1</v>
      </c>
      <c r="B3" s="276"/>
      <c r="C3" s="276"/>
      <c r="D3" s="276"/>
      <c r="E3" s="276"/>
      <c r="F3" s="276"/>
      <c r="G3" s="3"/>
      <c r="H3" s="3"/>
      <c r="I3" s="3"/>
      <c r="J3" s="3"/>
      <c r="K3" s="3"/>
      <c r="L3" s="3"/>
      <c r="M3" s="4"/>
      <c r="N3" s="4"/>
      <c r="O3" s="4"/>
      <c r="P3" s="4"/>
    </row>
    <row r="4" spans="1:19" ht="6" customHeight="1">
      <c r="A4" s="5"/>
      <c r="B4" s="289" t="s">
        <v>2</v>
      </c>
      <c r="C4" s="290"/>
      <c r="D4" s="5"/>
      <c r="E4" s="5"/>
      <c r="F4" s="5"/>
      <c r="G4" s="5"/>
      <c r="H4" s="5"/>
      <c r="I4" s="5"/>
      <c r="J4" s="5"/>
      <c r="K4" s="5"/>
      <c r="L4" s="5"/>
      <c r="M4" s="4"/>
      <c r="N4" s="4"/>
      <c r="O4" s="4"/>
      <c r="P4" s="4"/>
    </row>
    <row r="5" spans="1:19" ht="6" customHeight="1">
      <c r="A5" s="6"/>
      <c r="B5" s="273"/>
      <c r="C5" s="273"/>
      <c r="D5" s="7"/>
      <c r="E5" s="7"/>
      <c r="F5" s="7"/>
      <c r="G5" s="7"/>
      <c r="H5" s="7"/>
      <c r="I5" s="7"/>
      <c r="J5" s="7"/>
      <c r="K5" s="7"/>
      <c r="L5" s="8"/>
      <c r="M5" s="4"/>
      <c r="N5" s="4"/>
      <c r="O5" s="4"/>
      <c r="P5" s="4"/>
    </row>
    <row r="6" spans="1:19" ht="33.950000000000003" customHeight="1">
      <c r="A6" s="9"/>
      <c r="B6" s="297" t="s">
        <v>3</v>
      </c>
      <c r="C6" s="276"/>
      <c r="D6" s="276"/>
      <c r="E6" s="276"/>
      <c r="F6" s="276"/>
      <c r="G6" s="276"/>
      <c r="H6" s="276"/>
      <c r="I6" s="276"/>
      <c r="J6" s="3"/>
      <c r="K6" s="3"/>
      <c r="L6" s="10"/>
      <c r="M6" s="4"/>
      <c r="N6" s="4"/>
      <c r="O6" s="4"/>
      <c r="P6" s="4"/>
    </row>
    <row r="7" spans="1:19">
      <c r="A7" s="11"/>
      <c r="B7" s="5"/>
      <c r="C7" s="5"/>
      <c r="D7" s="5"/>
      <c r="E7" s="5"/>
      <c r="F7" s="5"/>
      <c r="G7" s="5"/>
      <c r="H7" s="5"/>
      <c r="I7" s="5"/>
      <c r="J7" s="5"/>
      <c r="K7" s="5"/>
      <c r="L7" s="12"/>
      <c r="M7" s="4"/>
      <c r="N7" s="4"/>
      <c r="O7" s="4"/>
      <c r="P7" s="4"/>
    </row>
    <row r="8" spans="1:19" ht="14.1" customHeight="1">
      <c r="A8" s="5"/>
      <c r="B8" s="293" t="s">
        <v>4</v>
      </c>
      <c r="C8" s="290"/>
      <c r="D8" s="5"/>
      <c r="E8" s="5"/>
      <c r="F8" s="5"/>
      <c r="G8" s="5"/>
      <c r="H8" s="5"/>
      <c r="I8" s="5"/>
      <c r="J8" s="5"/>
      <c r="K8" s="5"/>
      <c r="L8" s="5"/>
      <c r="M8" s="4"/>
      <c r="N8" s="4"/>
      <c r="O8" s="4"/>
      <c r="P8" s="4"/>
    </row>
    <row r="9" spans="1:19" ht="8.1" customHeight="1">
      <c r="A9" s="6"/>
      <c r="B9" s="273"/>
      <c r="C9" s="273"/>
      <c r="D9" s="7"/>
      <c r="E9" s="7"/>
      <c r="F9" s="7"/>
      <c r="G9" s="7"/>
      <c r="H9" s="7"/>
      <c r="I9" s="7"/>
      <c r="J9" s="7"/>
      <c r="K9" s="7"/>
      <c r="L9" s="8"/>
      <c r="M9" s="4"/>
      <c r="N9" s="4"/>
      <c r="O9" s="4"/>
      <c r="P9" s="4"/>
    </row>
    <row r="10" spans="1:19">
      <c r="A10" s="275" t="s">
        <v>5</v>
      </c>
      <c r="B10" s="276"/>
      <c r="C10" s="294"/>
      <c r="D10" s="276"/>
      <c r="E10" s="3"/>
      <c r="F10" s="14"/>
      <c r="G10" s="3"/>
      <c r="H10" s="15" t="s">
        <v>88</v>
      </c>
      <c r="I10" s="16">
        <f>G29</f>
        <v>0</v>
      </c>
      <c r="J10" s="3"/>
      <c r="K10" s="3"/>
      <c r="L10" s="10"/>
      <c r="M10" s="4"/>
      <c r="N10" s="4"/>
      <c r="O10" s="4"/>
      <c r="P10" s="4"/>
    </row>
    <row r="11" spans="1:19" ht="15.95" customHeight="1">
      <c r="A11" s="277" t="s">
        <v>484</v>
      </c>
      <c r="B11" s="276"/>
      <c r="C11" s="276"/>
      <c r="D11" s="276"/>
      <c r="E11" s="276"/>
      <c r="F11" s="295"/>
      <c r="G11" s="276"/>
      <c r="H11" s="15" t="s">
        <v>89</v>
      </c>
      <c r="I11" s="16">
        <f>ROUND(I10*(1+Q11),2)</f>
        <v>0</v>
      </c>
      <c r="J11" s="3"/>
      <c r="K11" s="3"/>
      <c r="L11" s="10"/>
      <c r="M11" s="4"/>
      <c r="N11" s="4"/>
      <c r="O11" s="4"/>
      <c r="P11" s="4"/>
      <c r="Q11" s="1">
        <f>IF(SUM(J20:J20)&gt;0,ROUND(SUM(S20:S20)/SUM(J20:J20)-1,8),0)</f>
        <v>0</v>
      </c>
      <c r="R11" s="1">
        <f>AVERAGE(I29)</f>
        <v>0.21</v>
      </c>
      <c r="S11" s="1">
        <f>I10*(1+Q11)</f>
        <v>0</v>
      </c>
    </row>
    <row r="12" spans="1:19">
      <c r="A12" s="275" t="s">
        <v>7</v>
      </c>
      <c r="B12" s="276"/>
      <c r="C12" s="294"/>
      <c r="D12" s="276"/>
      <c r="E12" s="276"/>
      <c r="F12" s="296"/>
      <c r="G12" s="276"/>
      <c r="H12" s="3"/>
      <c r="I12" s="3"/>
      <c r="J12" s="3"/>
      <c r="K12" s="3"/>
      <c r="L12" s="10"/>
      <c r="M12" s="4"/>
      <c r="N12" s="4"/>
      <c r="O12" s="4"/>
      <c r="P12" s="4"/>
    </row>
    <row r="13" spans="1:19" ht="15.95" customHeight="1">
      <c r="A13" s="277">
        <f>Souhrn!A13</f>
        <v>0</v>
      </c>
      <c r="B13" s="276"/>
      <c r="C13" s="276"/>
      <c r="D13" s="276"/>
      <c r="E13" s="276"/>
      <c r="F13" s="295"/>
      <c r="G13" s="276"/>
      <c r="H13" s="15" t="s">
        <v>8</v>
      </c>
      <c r="I13" s="13">
        <f>Souhrn!E13</f>
        <v>0</v>
      </c>
      <c r="J13" s="3"/>
      <c r="K13" s="3"/>
      <c r="L13" s="10"/>
      <c r="M13" s="4"/>
      <c r="N13" s="4"/>
      <c r="O13" s="4"/>
      <c r="P13" s="4"/>
    </row>
    <row r="14" spans="1:19">
      <c r="A14" s="9"/>
      <c r="B14" s="3"/>
      <c r="C14" s="3"/>
      <c r="D14" s="3"/>
      <c r="E14" s="3"/>
      <c r="F14" s="3"/>
      <c r="G14" s="3"/>
      <c r="H14" s="15" t="s">
        <v>9</v>
      </c>
      <c r="I14" s="13">
        <f>Souhrn!E14</f>
        <v>0</v>
      </c>
      <c r="J14" s="3"/>
      <c r="K14" s="3"/>
      <c r="L14" s="10"/>
      <c r="M14" s="4"/>
      <c r="N14" s="4"/>
      <c r="O14" s="4"/>
      <c r="P14" s="4"/>
    </row>
    <row r="15" spans="1:19" hidden="1">
      <c r="A15" s="9"/>
      <c r="B15" s="3"/>
      <c r="C15" s="3"/>
      <c r="D15" s="3"/>
      <c r="E15" s="3"/>
      <c r="F15" s="3"/>
      <c r="G15" s="3"/>
      <c r="H15" s="3"/>
      <c r="I15" s="3"/>
      <c r="J15" s="3"/>
      <c r="K15" s="3"/>
      <c r="L15" s="10"/>
      <c r="M15" s="4"/>
      <c r="N15" s="4"/>
      <c r="O15" s="4"/>
      <c r="P15" s="4"/>
    </row>
    <row r="16" spans="1:19" ht="9.9499999999999993" customHeight="1">
      <c r="A16" s="11"/>
      <c r="B16" s="5"/>
      <c r="C16" s="5"/>
      <c r="D16" s="5"/>
      <c r="E16" s="5"/>
      <c r="F16" s="5"/>
      <c r="G16" s="5"/>
      <c r="H16" s="5"/>
      <c r="I16" s="5"/>
      <c r="J16" s="5"/>
      <c r="K16" s="5"/>
      <c r="L16" s="12"/>
      <c r="M16" s="4"/>
      <c r="N16" s="4"/>
      <c r="O16" s="4"/>
      <c r="P16" s="4"/>
    </row>
    <row r="17" spans="1:19" ht="14.1" customHeight="1">
      <c r="A17" s="5"/>
      <c r="B17" s="289" t="s">
        <v>10</v>
      </c>
      <c r="C17" s="290"/>
      <c r="D17" s="5"/>
      <c r="E17" s="5"/>
      <c r="F17" s="5"/>
      <c r="G17" s="5"/>
      <c r="H17" s="5"/>
      <c r="I17" s="5"/>
      <c r="J17" s="5"/>
      <c r="K17" s="5"/>
      <c r="L17" s="5"/>
      <c r="M17" s="4"/>
      <c r="N17" s="4"/>
      <c r="O17" s="4"/>
      <c r="P17" s="4"/>
    </row>
    <row r="18" spans="1:19" ht="6" customHeight="1">
      <c r="A18" s="6"/>
      <c r="B18" s="273"/>
      <c r="C18" s="273"/>
      <c r="D18" s="7"/>
      <c r="E18" s="7"/>
      <c r="F18" s="7"/>
      <c r="G18" s="7"/>
      <c r="H18" s="7"/>
      <c r="I18" s="7"/>
      <c r="J18" s="7"/>
      <c r="K18" s="7"/>
      <c r="L18" s="8"/>
      <c r="M18" s="4"/>
      <c r="N18" s="4"/>
      <c r="O18" s="4"/>
      <c r="P18" s="4"/>
    </row>
    <row r="19" spans="1:19" ht="18" customHeight="1">
      <c r="A19" s="9"/>
      <c r="B19" s="291" t="s">
        <v>11</v>
      </c>
      <c r="C19" s="291"/>
      <c r="D19" s="291"/>
      <c r="E19" s="291" t="s">
        <v>12</v>
      </c>
      <c r="F19" s="292"/>
      <c r="G19" s="19"/>
      <c r="H19" s="19"/>
      <c r="I19" s="19"/>
      <c r="J19" s="19" t="s">
        <v>13</v>
      </c>
      <c r="K19" s="19" t="s">
        <v>14</v>
      </c>
      <c r="L19" s="10"/>
      <c r="M19" s="4"/>
      <c r="N19" s="4"/>
      <c r="O19" s="4"/>
      <c r="P19" s="4"/>
    </row>
    <row r="20" spans="1:19">
      <c r="A20" s="9"/>
      <c r="B20" s="287" t="s">
        <v>487</v>
      </c>
      <c r="C20" s="276"/>
      <c r="D20" s="276"/>
      <c r="E20" s="20" t="s">
        <v>486</v>
      </c>
      <c r="F20" s="3"/>
      <c r="G20" s="3"/>
      <c r="H20" s="3"/>
      <c r="I20" s="3"/>
      <c r="J20" s="21">
        <f>G29</f>
        <v>0</v>
      </c>
      <c r="K20" s="21">
        <f>K29</f>
        <v>0</v>
      </c>
      <c r="L20" s="10"/>
      <c r="M20" s="4"/>
      <c r="N20" s="4"/>
      <c r="O20" s="4"/>
      <c r="P20" s="4"/>
      <c r="S20" s="1">
        <f>S29</f>
        <v>0</v>
      </c>
    </row>
    <row r="21" spans="1:19">
      <c r="A21" s="11"/>
      <c r="B21" s="5"/>
      <c r="C21" s="5"/>
      <c r="D21" s="5"/>
      <c r="E21" s="5"/>
      <c r="F21" s="5"/>
      <c r="G21" s="5"/>
      <c r="H21" s="5"/>
      <c r="I21" s="5"/>
      <c r="J21" s="5"/>
      <c r="K21" s="5"/>
      <c r="L21" s="12"/>
      <c r="M21" s="4"/>
      <c r="N21" s="4"/>
      <c r="O21" s="4"/>
      <c r="P21" s="4"/>
    </row>
    <row r="22" spans="1:19" ht="14.1" customHeight="1">
      <c r="A22" s="5"/>
      <c r="B22" s="289" t="s">
        <v>15</v>
      </c>
      <c r="C22" s="290"/>
      <c r="D22" s="5"/>
      <c r="E22" s="5"/>
      <c r="F22" s="5"/>
      <c r="G22" s="5"/>
      <c r="H22" s="5"/>
      <c r="I22" s="5"/>
      <c r="J22" s="5"/>
      <c r="K22" s="5"/>
      <c r="L22" s="5"/>
      <c r="M22" s="4"/>
      <c r="N22" s="4"/>
      <c r="O22" s="4"/>
      <c r="P22" s="4"/>
    </row>
    <row r="23" spans="1:19" ht="18" customHeight="1">
      <c r="A23" s="6"/>
      <c r="B23" s="273"/>
      <c r="C23" s="273"/>
      <c r="D23" s="7"/>
      <c r="E23" s="7"/>
      <c r="F23" s="7"/>
      <c r="G23" s="7"/>
      <c r="H23" s="7"/>
      <c r="I23" s="7"/>
      <c r="J23" s="7"/>
      <c r="K23" s="7"/>
      <c r="L23" s="8"/>
      <c r="M23" s="4"/>
      <c r="N23" s="4"/>
      <c r="O23" s="4"/>
      <c r="P23" s="4"/>
    </row>
    <row r="24" spans="1:19" ht="18" customHeight="1">
      <c r="A24" s="9"/>
      <c r="B24" s="17" t="s">
        <v>16</v>
      </c>
      <c r="C24" s="17" t="s">
        <v>11</v>
      </c>
      <c r="D24" s="17" t="s">
        <v>17</v>
      </c>
      <c r="E24" s="17" t="s">
        <v>12</v>
      </c>
      <c r="F24" s="18" t="s">
        <v>18</v>
      </c>
      <c r="G24" s="19" t="s">
        <v>19</v>
      </c>
      <c r="H24" s="19" t="s">
        <v>20</v>
      </c>
      <c r="I24" s="19" t="s">
        <v>13</v>
      </c>
      <c r="J24" s="18" t="s">
        <v>21</v>
      </c>
      <c r="K24" s="19" t="s">
        <v>14</v>
      </c>
      <c r="L24" s="10"/>
      <c r="M24" s="4"/>
      <c r="N24" s="4"/>
      <c r="O24" s="4"/>
      <c r="P24" s="4"/>
    </row>
    <row r="25" spans="1:19" ht="39.950000000000003" customHeight="1">
      <c r="A25" s="9"/>
      <c r="B25" s="288" t="s">
        <v>484</v>
      </c>
      <c r="C25" s="276"/>
      <c r="D25" s="276"/>
      <c r="E25" s="276"/>
      <c r="F25" s="276"/>
      <c r="G25" s="276"/>
      <c r="H25" s="286"/>
      <c r="I25" s="276"/>
      <c r="J25" s="286"/>
      <c r="K25" s="276"/>
      <c r="L25" s="10"/>
      <c r="M25" s="4"/>
      <c r="N25" s="4"/>
      <c r="O25" s="4"/>
      <c r="P25" s="4"/>
    </row>
    <row r="26" spans="1:19">
      <c r="A26" s="9"/>
      <c r="B26" s="22">
        <v>1</v>
      </c>
      <c r="C26" s="23" t="s">
        <v>485</v>
      </c>
      <c r="D26" s="23" t="s">
        <v>92</v>
      </c>
      <c r="E26" s="23" t="s">
        <v>486</v>
      </c>
      <c r="F26" s="24" t="s">
        <v>40</v>
      </c>
      <c r="G26" s="25">
        <f>ROUND(1,3)</f>
        <v>1</v>
      </c>
      <c r="H26" s="271">
        <f>ROUND('SO 801.1.2 - Příprava plo...'!J96,2)</f>
        <v>0</v>
      </c>
      <c r="I26" s="26">
        <f>ROUND(H26*G26,2)</f>
        <v>0</v>
      </c>
      <c r="J26" s="45" t="s">
        <v>25</v>
      </c>
      <c r="K26" s="26">
        <f>IF(ISNUMBER(J26),ROUND(I26*(J26+1),2),0)</f>
        <v>0</v>
      </c>
      <c r="L26" s="10"/>
      <c r="M26" s="4"/>
      <c r="N26" s="4"/>
      <c r="O26" s="4"/>
      <c r="P26" s="4"/>
      <c r="Q26" s="1">
        <f>IF(ISNUMBER(J26),IF(G26&gt;0,IF(H26&gt;0,I26,0),0),0)</f>
        <v>0</v>
      </c>
      <c r="R26" s="1">
        <f>IF(ISNUMBER(J26)=FALSE,I26,0)</f>
        <v>0</v>
      </c>
    </row>
    <row r="27" spans="1:19">
      <c r="A27" s="9"/>
      <c r="B27" s="283" t="s">
        <v>27</v>
      </c>
      <c r="C27" s="276"/>
      <c r="D27" s="276"/>
      <c r="E27" s="27" t="s">
        <v>25</v>
      </c>
      <c r="F27" s="3"/>
      <c r="G27" s="3"/>
      <c r="H27" s="39"/>
      <c r="I27" s="3"/>
      <c r="J27" s="39"/>
      <c r="K27" s="3"/>
      <c r="L27" s="10"/>
      <c r="M27" s="4"/>
      <c r="N27" s="4"/>
      <c r="O27" s="4"/>
      <c r="P27" s="4"/>
    </row>
    <row r="28" spans="1:19" ht="13.5" thickBot="1">
      <c r="A28" s="9"/>
      <c r="B28" s="281" t="s">
        <v>28</v>
      </c>
      <c r="C28" s="282"/>
      <c r="D28" s="282"/>
      <c r="E28" s="29" t="s">
        <v>25</v>
      </c>
      <c r="F28" s="28"/>
      <c r="G28" s="28"/>
      <c r="H28" s="41"/>
      <c r="I28" s="28"/>
      <c r="J28" s="41"/>
      <c r="K28" s="28"/>
      <c r="L28" s="10"/>
      <c r="M28" s="4"/>
      <c r="N28" s="4"/>
      <c r="O28" s="4"/>
      <c r="P28" s="4"/>
    </row>
    <row r="29" spans="1:19" ht="24.95" customHeight="1" thickTop="1" thickBot="1">
      <c r="A29" s="9"/>
      <c r="B29" s="32"/>
      <c r="C29" s="33" t="s">
        <v>487</v>
      </c>
      <c r="D29" s="32"/>
      <c r="E29" s="34" t="s">
        <v>486</v>
      </c>
      <c r="F29" s="35" t="s">
        <v>44</v>
      </c>
      <c r="G29" s="36">
        <f>0+I26</f>
        <v>0</v>
      </c>
      <c r="H29" s="43" t="s">
        <v>45</v>
      </c>
      <c r="I29" s="37">
        <f>IF(COUNT(J26:J29)&gt;0,AVERAGE(J26:J29),0.21)</f>
        <v>0.21</v>
      </c>
      <c r="J29" s="43" t="s">
        <v>46</v>
      </c>
      <c r="K29" s="36">
        <f>ROUND(Q29*(1+I29),2)+R29</f>
        <v>0</v>
      </c>
      <c r="L29" s="10"/>
      <c r="M29" s="4"/>
      <c r="N29" s="4"/>
      <c r="O29" s="4"/>
      <c r="P29" s="4"/>
      <c r="Q29" s="1">
        <f>0+Q26</f>
        <v>0</v>
      </c>
      <c r="R29" s="1">
        <f>0+R26</f>
        <v>0</v>
      </c>
      <c r="S29" s="2">
        <f>Q29*(1+I29)+R29</f>
        <v>0</v>
      </c>
    </row>
    <row r="30" spans="1:19">
      <c r="A30" s="11"/>
      <c r="B30" s="5"/>
      <c r="C30" s="5"/>
      <c r="D30" s="5"/>
      <c r="E30" s="38"/>
      <c r="F30" s="5"/>
      <c r="G30" s="5"/>
      <c r="H30" s="44"/>
      <c r="I30" s="5"/>
      <c r="J30" s="44"/>
      <c r="K30" s="5"/>
      <c r="L30" s="12"/>
      <c r="M30" s="4"/>
      <c r="N30" s="4"/>
      <c r="O30" s="4"/>
      <c r="P30" s="4"/>
    </row>
  </sheetData>
  <autoFilter ref="A1:S1" xr:uid="{00000000-0009-0000-0000-00000F000000}">
    <filterColumn colId="3" showButton="0"/>
  </autoFilter>
  <mergeCells count="18">
    <mergeCell ref="A1:A2"/>
    <mergeCell ref="A3:F3"/>
    <mergeCell ref="B4:C5"/>
    <mergeCell ref="B6:I6"/>
    <mergeCell ref="D1:E2"/>
    <mergeCell ref="B8:C9"/>
    <mergeCell ref="A10:D10"/>
    <mergeCell ref="A11:G11"/>
    <mergeCell ref="A12:G12"/>
    <mergeCell ref="A13:G13"/>
    <mergeCell ref="B28:D28"/>
    <mergeCell ref="B25:K25"/>
    <mergeCell ref="B20:D20"/>
    <mergeCell ref="B17:C18"/>
    <mergeCell ref="B19:D19"/>
    <mergeCell ref="E19:F19"/>
    <mergeCell ref="B22:C23"/>
    <mergeCell ref="B27:D27"/>
  </mergeCells>
  <pageMargins left="0.39370078740157499" right="0.39370078740157499" top="0.59055118110236204" bottom="0.39370078740157499" header="0.196850393700787" footer="0.15748031496063"/>
  <pageSetup paperSize="9" fitToHeight="0" orientation="portrait"/>
  <headerFooter>
    <oddFooter>&amp;CLÁVKA PŘES LABE V NYMBURKU | Příprava ploch pro založení vegetace&amp;R&amp;P/&amp;N</oddFooter>
  </headerFooter>
  <drawing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15 - 801.2.1.NN_cm">
    <tabColor theme="5" tint="0.39997558519241921"/>
    <pageSetUpPr fitToPage="1"/>
  </sheetPr>
  <dimension ref="A1:S30"/>
  <sheetViews>
    <sheetView workbookViewId="0">
      <selection sqref="A1:A2"/>
    </sheetView>
  </sheetViews>
  <sheetFormatPr defaultRowHeight="12.75"/>
  <cols>
    <col min="1" max="1" width="4.7109375"/>
    <col min="2" max="2" width="5.7109375"/>
    <col min="3" max="3" width="11.7109375"/>
    <col min="4" max="4" width="5.7109375"/>
    <col min="5" max="5" width="80.7109375"/>
    <col min="6" max="6" width="20.7109375"/>
    <col min="7" max="11" width="22.7109375"/>
    <col min="12" max="12" width="4.7109375"/>
    <col min="17" max="19" width="0" hidden="1"/>
  </cols>
  <sheetData>
    <row r="1" spans="1:19">
      <c r="A1" s="276"/>
      <c r="B1" s="3"/>
      <c r="C1" s="3"/>
      <c r="D1" s="280" t="s">
        <v>0</v>
      </c>
      <c r="E1" s="276"/>
      <c r="F1" s="3"/>
      <c r="G1" s="3"/>
      <c r="H1" s="3"/>
      <c r="I1" s="3"/>
      <c r="J1" s="3"/>
      <c r="K1" s="3"/>
      <c r="L1" s="3"/>
      <c r="M1" s="4"/>
      <c r="N1" s="4"/>
      <c r="O1" s="4"/>
      <c r="P1" s="4"/>
    </row>
    <row r="2" spans="1:19">
      <c r="A2" s="276"/>
      <c r="B2" s="3"/>
      <c r="C2" s="3"/>
      <c r="D2" s="276"/>
      <c r="E2" s="276"/>
      <c r="F2" s="3"/>
      <c r="G2" s="3"/>
      <c r="H2" s="3"/>
      <c r="I2" s="3"/>
      <c r="J2" s="3"/>
      <c r="K2" s="3"/>
      <c r="L2" s="3"/>
      <c r="M2" s="4"/>
      <c r="N2" s="4"/>
      <c r="O2" s="4"/>
      <c r="P2" s="4"/>
    </row>
    <row r="3" spans="1:19" ht="24" customHeight="1">
      <c r="A3" s="278" t="s">
        <v>1</v>
      </c>
      <c r="B3" s="276"/>
      <c r="C3" s="276"/>
      <c r="D3" s="276"/>
      <c r="E3" s="276"/>
      <c r="F3" s="276"/>
      <c r="G3" s="3"/>
      <c r="H3" s="3"/>
      <c r="I3" s="3"/>
      <c r="J3" s="3"/>
      <c r="K3" s="3"/>
      <c r="L3" s="3"/>
      <c r="M3" s="4"/>
      <c r="N3" s="4"/>
      <c r="O3" s="4"/>
      <c r="P3" s="4"/>
    </row>
    <row r="4" spans="1:19" ht="6" customHeight="1">
      <c r="A4" s="5"/>
      <c r="B4" s="289" t="s">
        <v>2</v>
      </c>
      <c r="C4" s="290"/>
      <c r="D4" s="5"/>
      <c r="E4" s="5"/>
      <c r="F4" s="5"/>
      <c r="G4" s="5"/>
      <c r="H4" s="5"/>
      <c r="I4" s="5"/>
      <c r="J4" s="5"/>
      <c r="K4" s="5"/>
      <c r="L4" s="5"/>
      <c r="M4" s="4"/>
      <c r="N4" s="4"/>
      <c r="O4" s="4"/>
      <c r="P4" s="4"/>
    </row>
    <row r="5" spans="1:19" ht="6" customHeight="1">
      <c r="A5" s="6"/>
      <c r="B5" s="273"/>
      <c r="C5" s="273"/>
      <c r="D5" s="7"/>
      <c r="E5" s="7"/>
      <c r="F5" s="7"/>
      <c r="G5" s="7"/>
      <c r="H5" s="7"/>
      <c r="I5" s="7"/>
      <c r="J5" s="7"/>
      <c r="K5" s="7"/>
      <c r="L5" s="8"/>
      <c r="M5" s="4"/>
      <c r="N5" s="4"/>
      <c r="O5" s="4"/>
      <c r="P5" s="4"/>
    </row>
    <row r="6" spans="1:19" ht="33.950000000000003" customHeight="1">
      <c r="A6" s="9"/>
      <c r="B6" s="297" t="s">
        <v>3</v>
      </c>
      <c r="C6" s="276"/>
      <c r="D6" s="276"/>
      <c r="E6" s="276"/>
      <c r="F6" s="276"/>
      <c r="G6" s="276"/>
      <c r="H6" s="276"/>
      <c r="I6" s="276"/>
      <c r="J6" s="3"/>
      <c r="K6" s="3"/>
      <c r="L6" s="10"/>
      <c r="M6" s="4"/>
      <c r="N6" s="4"/>
      <c r="O6" s="4"/>
      <c r="P6" s="4"/>
    </row>
    <row r="7" spans="1:19">
      <c r="A7" s="11"/>
      <c r="B7" s="5"/>
      <c r="C7" s="5"/>
      <c r="D7" s="5"/>
      <c r="E7" s="5"/>
      <c r="F7" s="5"/>
      <c r="G7" s="5"/>
      <c r="H7" s="5"/>
      <c r="I7" s="5"/>
      <c r="J7" s="5"/>
      <c r="K7" s="5"/>
      <c r="L7" s="12"/>
      <c r="M7" s="4"/>
      <c r="N7" s="4"/>
      <c r="O7" s="4"/>
      <c r="P7" s="4"/>
    </row>
    <row r="8" spans="1:19" ht="14.1" customHeight="1">
      <c r="A8" s="5"/>
      <c r="B8" s="293" t="s">
        <v>4</v>
      </c>
      <c r="C8" s="290"/>
      <c r="D8" s="5"/>
      <c r="E8" s="5"/>
      <c r="F8" s="5"/>
      <c r="G8" s="5"/>
      <c r="H8" s="5"/>
      <c r="I8" s="5"/>
      <c r="J8" s="5"/>
      <c r="K8" s="5"/>
      <c r="L8" s="5"/>
      <c r="M8" s="4"/>
      <c r="N8" s="4"/>
      <c r="O8" s="4"/>
      <c r="P8" s="4"/>
    </row>
    <row r="9" spans="1:19" ht="8.1" customHeight="1">
      <c r="A9" s="6"/>
      <c r="B9" s="273"/>
      <c r="C9" s="273"/>
      <c r="D9" s="7"/>
      <c r="E9" s="7"/>
      <c r="F9" s="7"/>
      <c r="G9" s="7"/>
      <c r="H9" s="7"/>
      <c r="I9" s="7"/>
      <c r="J9" s="7"/>
      <c r="K9" s="7"/>
      <c r="L9" s="8"/>
      <c r="M9" s="4"/>
      <c r="N9" s="4"/>
      <c r="O9" s="4"/>
      <c r="P9" s="4"/>
    </row>
    <row r="10" spans="1:19">
      <c r="A10" s="275" t="s">
        <v>5</v>
      </c>
      <c r="B10" s="276"/>
      <c r="C10" s="294"/>
      <c r="D10" s="276"/>
      <c r="E10" s="3"/>
      <c r="F10" s="14"/>
      <c r="G10" s="3"/>
      <c r="H10" s="15" t="s">
        <v>88</v>
      </c>
      <c r="I10" s="16">
        <f>G29</f>
        <v>0</v>
      </c>
      <c r="J10" s="3"/>
      <c r="K10" s="3"/>
      <c r="L10" s="10"/>
      <c r="M10" s="4"/>
      <c r="N10" s="4"/>
      <c r="O10" s="4"/>
      <c r="P10" s="4"/>
    </row>
    <row r="11" spans="1:19" ht="15.95" customHeight="1">
      <c r="A11" s="277" t="s">
        <v>488</v>
      </c>
      <c r="B11" s="276"/>
      <c r="C11" s="276"/>
      <c r="D11" s="276"/>
      <c r="E11" s="276"/>
      <c r="F11" s="295"/>
      <c r="G11" s="276"/>
      <c r="H11" s="15" t="s">
        <v>89</v>
      </c>
      <c r="I11" s="16">
        <f>ROUND(I10*(1+Q11),2)</f>
        <v>0</v>
      </c>
      <c r="J11" s="3"/>
      <c r="K11" s="3"/>
      <c r="L11" s="10"/>
      <c r="M11" s="4"/>
      <c r="N11" s="4"/>
      <c r="O11" s="4"/>
      <c r="P11" s="4"/>
      <c r="Q11" s="1">
        <f>IF(SUM(J20:J20)&gt;0,ROUND(SUM(S20:S20)/SUM(J20:J20)-1,8),0)</f>
        <v>0</v>
      </c>
      <c r="R11" s="1">
        <f>AVERAGE(I29)</f>
        <v>0.21</v>
      </c>
      <c r="S11" s="1">
        <f>I10*(1+Q11)</f>
        <v>0</v>
      </c>
    </row>
    <row r="12" spans="1:19">
      <c r="A12" s="275" t="s">
        <v>7</v>
      </c>
      <c r="B12" s="276"/>
      <c r="C12" s="294"/>
      <c r="D12" s="276"/>
      <c r="E12" s="276"/>
      <c r="F12" s="296"/>
      <c r="G12" s="276"/>
      <c r="H12" s="3"/>
      <c r="I12" s="3"/>
      <c r="J12" s="3"/>
      <c r="K12" s="3"/>
      <c r="L12" s="10"/>
      <c r="M12" s="4"/>
      <c r="N12" s="4"/>
      <c r="O12" s="4"/>
      <c r="P12" s="4"/>
    </row>
    <row r="13" spans="1:19" ht="15.95" customHeight="1">
      <c r="A13" s="277">
        <f>Souhrn!A13</f>
        <v>0</v>
      </c>
      <c r="B13" s="276"/>
      <c r="C13" s="276"/>
      <c r="D13" s="276"/>
      <c r="E13" s="276"/>
      <c r="F13" s="295"/>
      <c r="G13" s="276"/>
      <c r="H13" s="15" t="s">
        <v>8</v>
      </c>
      <c r="I13" s="13">
        <f>Souhrn!E13</f>
        <v>0</v>
      </c>
      <c r="J13" s="3"/>
      <c r="K13" s="3"/>
      <c r="L13" s="10"/>
      <c r="M13" s="4"/>
      <c r="N13" s="4"/>
      <c r="O13" s="4"/>
      <c r="P13" s="4"/>
    </row>
    <row r="14" spans="1:19">
      <c r="A14" s="9"/>
      <c r="B14" s="3"/>
      <c r="C14" s="3"/>
      <c r="D14" s="3"/>
      <c r="E14" s="3"/>
      <c r="F14" s="3"/>
      <c r="G14" s="3"/>
      <c r="H14" s="15" t="s">
        <v>9</v>
      </c>
      <c r="I14" s="13">
        <f>Souhrn!E14</f>
        <v>0</v>
      </c>
      <c r="J14" s="3"/>
      <c r="K14" s="3"/>
      <c r="L14" s="10"/>
      <c r="M14" s="4"/>
      <c r="N14" s="4"/>
      <c r="O14" s="4"/>
      <c r="P14" s="4"/>
    </row>
    <row r="15" spans="1:19" hidden="1">
      <c r="A15" s="9"/>
      <c r="B15" s="3"/>
      <c r="C15" s="3"/>
      <c r="D15" s="3"/>
      <c r="E15" s="3"/>
      <c r="F15" s="3"/>
      <c r="G15" s="3"/>
      <c r="H15" s="3"/>
      <c r="I15" s="3"/>
      <c r="J15" s="3"/>
      <c r="K15" s="3"/>
      <c r="L15" s="10"/>
      <c r="M15" s="4"/>
      <c r="N15" s="4"/>
      <c r="O15" s="4"/>
      <c r="P15" s="4"/>
    </row>
    <row r="16" spans="1:19" ht="9.9499999999999993" customHeight="1">
      <c r="A16" s="11"/>
      <c r="B16" s="5"/>
      <c r="C16" s="5"/>
      <c r="D16" s="5"/>
      <c r="E16" s="5"/>
      <c r="F16" s="5"/>
      <c r="G16" s="5"/>
      <c r="H16" s="5"/>
      <c r="I16" s="5"/>
      <c r="J16" s="5"/>
      <c r="K16" s="5"/>
      <c r="L16" s="12"/>
      <c r="M16" s="4"/>
      <c r="N16" s="4"/>
      <c r="O16" s="4"/>
      <c r="P16" s="4"/>
    </row>
    <row r="17" spans="1:19" ht="14.1" customHeight="1">
      <c r="A17" s="5"/>
      <c r="B17" s="289" t="s">
        <v>10</v>
      </c>
      <c r="C17" s="290"/>
      <c r="D17" s="5"/>
      <c r="E17" s="5"/>
      <c r="F17" s="5"/>
      <c r="G17" s="5"/>
      <c r="H17" s="5"/>
      <c r="I17" s="5"/>
      <c r="J17" s="5"/>
      <c r="K17" s="5"/>
      <c r="L17" s="5"/>
      <c r="M17" s="4"/>
      <c r="N17" s="4"/>
      <c r="O17" s="4"/>
      <c r="P17" s="4"/>
    </row>
    <row r="18" spans="1:19" ht="6" customHeight="1">
      <c r="A18" s="6"/>
      <c r="B18" s="273"/>
      <c r="C18" s="273"/>
      <c r="D18" s="7"/>
      <c r="E18" s="7"/>
      <c r="F18" s="7"/>
      <c r="G18" s="7"/>
      <c r="H18" s="7"/>
      <c r="I18" s="7"/>
      <c r="J18" s="7"/>
      <c r="K18" s="7"/>
      <c r="L18" s="8"/>
      <c r="M18" s="4"/>
      <c r="N18" s="4"/>
      <c r="O18" s="4"/>
      <c r="P18" s="4"/>
    </row>
    <row r="19" spans="1:19" ht="18" customHeight="1">
      <c r="A19" s="9"/>
      <c r="B19" s="291" t="s">
        <v>11</v>
      </c>
      <c r="C19" s="291"/>
      <c r="D19" s="291"/>
      <c r="E19" s="291" t="s">
        <v>12</v>
      </c>
      <c r="F19" s="292"/>
      <c r="G19" s="19"/>
      <c r="H19" s="19"/>
      <c r="I19" s="19"/>
      <c r="J19" s="19" t="s">
        <v>13</v>
      </c>
      <c r="K19" s="19" t="s">
        <v>14</v>
      </c>
      <c r="L19" s="10"/>
      <c r="M19" s="4"/>
      <c r="N19" s="4"/>
      <c r="O19" s="4"/>
      <c r="P19" s="4"/>
    </row>
    <row r="20" spans="1:19">
      <c r="A20" s="9"/>
      <c r="B20" s="287" t="s">
        <v>491</v>
      </c>
      <c r="C20" s="276"/>
      <c r="D20" s="276"/>
      <c r="E20" s="20" t="s">
        <v>490</v>
      </c>
      <c r="F20" s="3"/>
      <c r="G20" s="3"/>
      <c r="H20" s="3"/>
      <c r="I20" s="3"/>
      <c r="J20" s="21">
        <f>G29</f>
        <v>0</v>
      </c>
      <c r="K20" s="21">
        <f>K29</f>
        <v>0</v>
      </c>
      <c r="L20" s="10"/>
      <c r="M20" s="4"/>
      <c r="N20" s="4"/>
      <c r="O20" s="4"/>
      <c r="P20" s="4"/>
      <c r="S20" s="1">
        <f>S29</f>
        <v>0</v>
      </c>
    </row>
    <row r="21" spans="1:19">
      <c r="A21" s="11"/>
      <c r="B21" s="5"/>
      <c r="C21" s="5"/>
      <c r="D21" s="5"/>
      <c r="E21" s="5"/>
      <c r="F21" s="5"/>
      <c r="G21" s="5"/>
      <c r="H21" s="5"/>
      <c r="I21" s="5"/>
      <c r="J21" s="5"/>
      <c r="K21" s="5"/>
      <c r="L21" s="12"/>
      <c r="M21" s="4"/>
      <c r="N21" s="4"/>
      <c r="O21" s="4"/>
      <c r="P21" s="4"/>
    </row>
    <row r="22" spans="1:19" ht="14.1" customHeight="1">
      <c r="A22" s="5"/>
      <c r="B22" s="289" t="s">
        <v>15</v>
      </c>
      <c r="C22" s="290"/>
      <c r="D22" s="5"/>
      <c r="E22" s="5"/>
      <c r="F22" s="5"/>
      <c r="G22" s="5"/>
      <c r="H22" s="5"/>
      <c r="I22" s="5"/>
      <c r="J22" s="5"/>
      <c r="K22" s="5"/>
      <c r="L22" s="5"/>
      <c r="M22" s="4"/>
      <c r="N22" s="4"/>
      <c r="O22" s="4"/>
      <c r="P22" s="4"/>
    </row>
    <row r="23" spans="1:19" ht="18" customHeight="1">
      <c r="A23" s="6"/>
      <c r="B23" s="273"/>
      <c r="C23" s="273"/>
      <c r="D23" s="7"/>
      <c r="E23" s="7"/>
      <c r="F23" s="7"/>
      <c r="G23" s="7"/>
      <c r="H23" s="7"/>
      <c r="I23" s="7"/>
      <c r="J23" s="7"/>
      <c r="K23" s="7"/>
      <c r="L23" s="8"/>
      <c r="M23" s="4"/>
      <c r="N23" s="4"/>
      <c r="O23" s="4"/>
      <c r="P23" s="4"/>
    </row>
    <row r="24" spans="1:19" ht="18" customHeight="1">
      <c r="A24" s="9"/>
      <c r="B24" s="17" t="s">
        <v>16</v>
      </c>
      <c r="C24" s="17" t="s">
        <v>11</v>
      </c>
      <c r="D24" s="17" t="s">
        <v>17</v>
      </c>
      <c r="E24" s="17" t="s">
        <v>12</v>
      </c>
      <c r="F24" s="18" t="s">
        <v>18</v>
      </c>
      <c r="G24" s="19" t="s">
        <v>19</v>
      </c>
      <c r="H24" s="19" t="s">
        <v>20</v>
      </c>
      <c r="I24" s="19" t="s">
        <v>13</v>
      </c>
      <c r="J24" s="18" t="s">
        <v>21</v>
      </c>
      <c r="K24" s="19" t="s">
        <v>14</v>
      </c>
      <c r="L24" s="10"/>
      <c r="M24" s="4"/>
      <c r="N24" s="4"/>
      <c r="O24" s="4"/>
      <c r="P24" s="4"/>
    </row>
    <row r="25" spans="1:19" ht="39.950000000000003" customHeight="1">
      <c r="A25" s="9"/>
      <c r="B25" s="288" t="s">
        <v>488</v>
      </c>
      <c r="C25" s="276"/>
      <c r="D25" s="276"/>
      <c r="E25" s="276"/>
      <c r="F25" s="276"/>
      <c r="G25" s="276"/>
      <c r="H25" s="286"/>
      <c r="I25" s="276"/>
      <c r="J25" s="286"/>
      <c r="K25" s="276"/>
      <c r="L25" s="10"/>
      <c r="M25" s="4"/>
      <c r="N25" s="4"/>
      <c r="O25" s="4"/>
      <c r="P25" s="4"/>
    </row>
    <row r="26" spans="1:19">
      <c r="A26" s="9"/>
      <c r="B26" s="22">
        <v>1</v>
      </c>
      <c r="C26" s="23" t="s">
        <v>489</v>
      </c>
      <c r="D26" s="23" t="s">
        <v>92</v>
      </c>
      <c r="E26" s="23" t="s">
        <v>490</v>
      </c>
      <c r="F26" s="24" t="s">
        <v>40</v>
      </c>
      <c r="G26" s="25">
        <f>ROUND(1,3)</f>
        <v>1</v>
      </c>
      <c r="H26" s="271">
        <f>ROUND('SO 801.2.1 - Založení veg...'!J96,2)</f>
        <v>0</v>
      </c>
      <c r="I26" s="26">
        <f>ROUND(H26*G26,2)</f>
        <v>0</v>
      </c>
      <c r="J26" s="45" t="s">
        <v>25</v>
      </c>
      <c r="K26" s="26">
        <f>IF(ISNUMBER(J26),ROUND(I26*(J26+1),2),0)</f>
        <v>0</v>
      </c>
      <c r="L26" s="10"/>
      <c r="M26" s="4"/>
      <c r="N26" s="4"/>
      <c r="O26" s="4"/>
      <c r="P26" s="4"/>
      <c r="Q26" s="1">
        <f>IF(ISNUMBER(J26),IF(G26&gt;0,IF(H26&gt;0,I26,0),0),0)</f>
        <v>0</v>
      </c>
      <c r="R26" s="1">
        <f>IF(ISNUMBER(J26)=FALSE,I26,0)</f>
        <v>0</v>
      </c>
    </row>
    <row r="27" spans="1:19">
      <c r="A27" s="9"/>
      <c r="B27" s="283" t="s">
        <v>27</v>
      </c>
      <c r="C27" s="276"/>
      <c r="D27" s="276"/>
      <c r="E27" s="27" t="s">
        <v>25</v>
      </c>
      <c r="F27" s="3"/>
      <c r="G27" s="3"/>
      <c r="H27" s="39"/>
      <c r="I27" s="3"/>
      <c r="J27" s="39"/>
      <c r="K27" s="3"/>
      <c r="L27" s="10"/>
      <c r="M27" s="4"/>
      <c r="N27" s="4"/>
      <c r="O27" s="4"/>
      <c r="P27" s="4"/>
    </row>
    <row r="28" spans="1:19" ht="13.5" thickBot="1">
      <c r="A28" s="9"/>
      <c r="B28" s="281" t="s">
        <v>28</v>
      </c>
      <c r="C28" s="282"/>
      <c r="D28" s="282"/>
      <c r="E28" s="29" t="s">
        <v>25</v>
      </c>
      <c r="F28" s="28"/>
      <c r="G28" s="28"/>
      <c r="H28" s="41"/>
      <c r="I28" s="28"/>
      <c r="J28" s="41"/>
      <c r="K28" s="28"/>
      <c r="L28" s="10"/>
      <c r="M28" s="4"/>
      <c r="N28" s="4"/>
      <c r="O28" s="4"/>
      <c r="P28" s="4"/>
    </row>
    <row r="29" spans="1:19" ht="24.95" customHeight="1" thickTop="1" thickBot="1">
      <c r="A29" s="9"/>
      <c r="B29" s="32"/>
      <c r="C29" s="33" t="s">
        <v>491</v>
      </c>
      <c r="D29" s="32"/>
      <c r="E29" s="34" t="s">
        <v>490</v>
      </c>
      <c r="F29" s="35" t="s">
        <v>44</v>
      </c>
      <c r="G29" s="36">
        <f>0+I26</f>
        <v>0</v>
      </c>
      <c r="H29" s="43" t="s">
        <v>45</v>
      </c>
      <c r="I29" s="37">
        <f>IF(COUNT(J26:J29)&gt;0,AVERAGE(J26:J29),0.21)</f>
        <v>0.21</v>
      </c>
      <c r="J29" s="43" t="s">
        <v>46</v>
      </c>
      <c r="K29" s="36">
        <f>ROUND(Q29*(1+I29),2)+R29</f>
        <v>0</v>
      </c>
      <c r="L29" s="10"/>
      <c r="M29" s="4"/>
      <c r="N29" s="4"/>
      <c r="O29" s="4"/>
      <c r="P29" s="4"/>
      <c r="Q29" s="1">
        <f>0+Q26</f>
        <v>0</v>
      </c>
      <c r="R29" s="1">
        <f>0+R26</f>
        <v>0</v>
      </c>
      <c r="S29" s="2">
        <f>Q29*(1+I29)+R29</f>
        <v>0</v>
      </c>
    </row>
    <row r="30" spans="1:19">
      <c r="A30" s="11"/>
      <c r="B30" s="5"/>
      <c r="C30" s="5"/>
      <c r="D30" s="5"/>
      <c r="E30" s="38"/>
      <c r="F30" s="5"/>
      <c r="G30" s="5"/>
      <c r="H30" s="44"/>
      <c r="I30" s="5"/>
      <c r="J30" s="44"/>
      <c r="K30" s="5"/>
      <c r="L30" s="12"/>
      <c r="M30" s="4"/>
      <c r="N30" s="4"/>
      <c r="O30" s="4"/>
      <c r="P30" s="4"/>
    </row>
  </sheetData>
  <autoFilter ref="A1:S1" xr:uid="{00000000-0009-0000-0000-000010000000}">
    <filterColumn colId="3" showButton="0"/>
  </autoFilter>
  <mergeCells count="18">
    <mergeCell ref="A1:A2"/>
    <mergeCell ref="A3:F3"/>
    <mergeCell ref="B4:C5"/>
    <mergeCell ref="B6:I6"/>
    <mergeCell ref="D1:E2"/>
    <mergeCell ref="B8:C9"/>
    <mergeCell ref="A10:D10"/>
    <mergeCell ref="A11:G11"/>
    <mergeCell ref="A12:G12"/>
    <mergeCell ref="A13:G13"/>
    <mergeCell ref="B28:D28"/>
    <mergeCell ref="B25:K25"/>
    <mergeCell ref="B20:D20"/>
    <mergeCell ref="B17:C18"/>
    <mergeCell ref="B19:D19"/>
    <mergeCell ref="E19:F19"/>
    <mergeCell ref="B22:C23"/>
    <mergeCell ref="B27:D27"/>
  </mergeCells>
  <pageMargins left="0.39370078740157499" right="0.39370078740157499" top="0.59055118110236204" bottom="0.39370078740157499" header="0.196850393700787" footer="0.15748031496063"/>
  <pageSetup paperSize="9" fitToHeight="0" orientation="portrait"/>
  <headerFooter>
    <oddFooter>&amp;CLÁVKA PŘES LABE V NYMBURKU | Založení vegetace&amp;R&amp;P/&amp;N</oddFooter>
  </headerFooter>
  <drawing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16 - 801.2.2.NN_cm">
    <tabColor theme="5" tint="0.39997558519241921"/>
    <pageSetUpPr fitToPage="1"/>
  </sheetPr>
  <dimension ref="A1:S30"/>
  <sheetViews>
    <sheetView workbookViewId="0">
      <selection sqref="A1:A2"/>
    </sheetView>
  </sheetViews>
  <sheetFormatPr defaultRowHeight="12.75"/>
  <cols>
    <col min="1" max="1" width="4.7109375"/>
    <col min="2" max="2" width="5.7109375"/>
    <col min="3" max="3" width="11.7109375"/>
    <col min="4" max="4" width="5.7109375"/>
    <col min="5" max="5" width="80.7109375"/>
    <col min="6" max="6" width="20.7109375"/>
    <col min="7" max="11" width="22.7109375"/>
    <col min="12" max="12" width="4.7109375"/>
    <col min="17" max="19" width="0" hidden="1"/>
  </cols>
  <sheetData>
    <row r="1" spans="1:19">
      <c r="A1" s="276"/>
      <c r="B1" s="3"/>
      <c r="C1" s="3"/>
      <c r="D1" s="280" t="s">
        <v>0</v>
      </c>
      <c r="E1" s="276"/>
      <c r="F1" s="3"/>
      <c r="G1" s="3"/>
      <c r="H1" s="3"/>
      <c r="I1" s="3"/>
      <c r="J1" s="3"/>
      <c r="K1" s="3"/>
      <c r="L1" s="3"/>
      <c r="M1" s="4"/>
      <c r="N1" s="4"/>
      <c r="O1" s="4"/>
      <c r="P1" s="4"/>
    </row>
    <row r="2" spans="1:19">
      <c r="A2" s="276"/>
      <c r="B2" s="3"/>
      <c r="C2" s="3"/>
      <c r="D2" s="276"/>
      <c r="E2" s="276"/>
      <c r="F2" s="3"/>
      <c r="G2" s="3"/>
      <c r="H2" s="3"/>
      <c r="I2" s="3"/>
      <c r="J2" s="3"/>
      <c r="K2" s="3"/>
      <c r="L2" s="3"/>
      <c r="M2" s="4"/>
      <c r="N2" s="4"/>
      <c r="O2" s="4"/>
      <c r="P2" s="4"/>
    </row>
    <row r="3" spans="1:19" ht="24" customHeight="1">
      <c r="A3" s="278" t="s">
        <v>1</v>
      </c>
      <c r="B3" s="276"/>
      <c r="C3" s="276"/>
      <c r="D3" s="276"/>
      <c r="E3" s="276"/>
      <c r="F3" s="276"/>
      <c r="G3" s="3"/>
      <c r="H3" s="3"/>
      <c r="I3" s="3"/>
      <c r="J3" s="3"/>
      <c r="K3" s="3"/>
      <c r="L3" s="3"/>
      <c r="M3" s="4"/>
      <c r="N3" s="4"/>
      <c r="O3" s="4"/>
      <c r="P3" s="4"/>
    </row>
    <row r="4" spans="1:19" ht="6" customHeight="1">
      <c r="A4" s="5"/>
      <c r="B4" s="289" t="s">
        <v>2</v>
      </c>
      <c r="C4" s="290"/>
      <c r="D4" s="5"/>
      <c r="E4" s="5"/>
      <c r="F4" s="5"/>
      <c r="G4" s="5"/>
      <c r="H4" s="5"/>
      <c r="I4" s="5"/>
      <c r="J4" s="5"/>
      <c r="K4" s="5"/>
      <c r="L4" s="5"/>
      <c r="M4" s="4"/>
      <c r="N4" s="4"/>
      <c r="O4" s="4"/>
      <c r="P4" s="4"/>
    </row>
    <row r="5" spans="1:19" ht="6" customHeight="1">
      <c r="A5" s="6"/>
      <c r="B5" s="273"/>
      <c r="C5" s="273"/>
      <c r="D5" s="7"/>
      <c r="E5" s="7"/>
      <c r="F5" s="7"/>
      <c r="G5" s="7"/>
      <c r="H5" s="7"/>
      <c r="I5" s="7"/>
      <c r="J5" s="7"/>
      <c r="K5" s="7"/>
      <c r="L5" s="8"/>
      <c r="M5" s="4"/>
      <c r="N5" s="4"/>
      <c r="O5" s="4"/>
      <c r="P5" s="4"/>
    </row>
    <row r="6" spans="1:19" ht="33.950000000000003" customHeight="1">
      <c r="A6" s="9"/>
      <c r="B6" s="297" t="s">
        <v>3</v>
      </c>
      <c r="C6" s="276"/>
      <c r="D6" s="276"/>
      <c r="E6" s="276"/>
      <c r="F6" s="276"/>
      <c r="G6" s="276"/>
      <c r="H6" s="276"/>
      <c r="I6" s="276"/>
      <c r="J6" s="3"/>
      <c r="K6" s="3"/>
      <c r="L6" s="10"/>
      <c r="M6" s="4"/>
      <c r="N6" s="4"/>
      <c r="O6" s="4"/>
      <c r="P6" s="4"/>
    </row>
    <row r="7" spans="1:19">
      <c r="A7" s="11"/>
      <c r="B7" s="5"/>
      <c r="C7" s="5"/>
      <c r="D7" s="5"/>
      <c r="E7" s="5"/>
      <c r="F7" s="5"/>
      <c r="G7" s="5"/>
      <c r="H7" s="5"/>
      <c r="I7" s="5"/>
      <c r="J7" s="5"/>
      <c r="K7" s="5"/>
      <c r="L7" s="12"/>
      <c r="M7" s="4"/>
      <c r="N7" s="4"/>
      <c r="O7" s="4"/>
      <c r="P7" s="4"/>
    </row>
    <row r="8" spans="1:19" ht="14.1" customHeight="1">
      <c r="A8" s="5"/>
      <c r="B8" s="293" t="s">
        <v>4</v>
      </c>
      <c r="C8" s="290"/>
      <c r="D8" s="5"/>
      <c r="E8" s="5"/>
      <c r="F8" s="5"/>
      <c r="G8" s="5"/>
      <c r="H8" s="5"/>
      <c r="I8" s="5"/>
      <c r="J8" s="5"/>
      <c r="K8" s="5"/>
      <c r="L8" s="5"/>
      <c r="M8" s="4"/>
      <c r="N8" s="4"/>
      <c r="O8" s="4"/>
      <c r="P8" s="4"/>
    </row>
    <row r="9" spans="1:19" ht="8.1" customHeight="1">
      <c r="A9" s="6"/>
      <c r="B9" s="273"/>
      <c r="C9" s="273"/>
      <c r="D9" s="7"/>
      <c r="E9" s="7"/>
      <c r="F9" s="7"/>
      <c r="G9" s="7"/>
      <c r="H9" s="7"/>
      <c r="I9" s="7"/>
      <c r="J9" s="7"/>
      <c r="K9" s="7"/>
      <c r="L9" s="8"/>
      <c r="M9" s="4"/>
      <c r="N9" s="4"/>
      <c r="O9" s="4"/>
      <c r="P9" s="4"/>
    </row>
    <row r="10" spans="1:19">
      <c r="A10" s="275" t="s">
        <v>5</v>
      </c>
      <c r="B10" s="276"/>
      <c r="C10" s="294"/>
      <c r="D10" s="276"/>
      <c r="E10" s="3"/>
      <c r="F10" s="14"/>
      <c r="G10" s="3"/>
      <c r="H10" s="15" t="s">
        <v>88</v>
      </c>
      <c r="I10" s="16">
        <f>G29</f>
        <v>0</v>
      </c>
      <c r="J10" s="3"/>
      <c r="K10" s="3"/>
      <c r="L10" s="10"/>
      <c r="M10" s="4"/>
      <c r="N10" s="4"/>
      <c r="O10" s="4"/>
      <c r="P10" s="4"/>
    </row>
    <row r="11" spans="1:19" ht="15.95" customHeight="1">
      <c r="A11" s="277" t="s">
        <v>492</v>
      </c>
      <c r="B11" s="276"/>
      <c r="C11" s="276"/>
      <c r="D11" s="276"/>
      <c r="E11" s="276"/>
      <c r="F11" s="295"/>
      <c r="G11" s="276"/>
      <c r="H11" s="15" t="s">
        <v>89</v>
      </c>
      <c r="I11" s="16">
        <f>ROUND(I10*(1+Q11),2)</f>
        <v>0</v>
      </c>
      <c r="J11" s="3"/>
      <c r="K11" s="3"/>
      <c r="L11" s="10"/>
      <c r="M11" s="4"/>
      <c r="N11" s="4"/>
      <c r="O11" s="4"/>
      <c r="P11" s="4"/>
      <c r="Q11" s="1">
        <f>IF(SUM(J20:J20)&gt;0,ROUND(SUM(S20:S20)/SUM(J20:J20)-1,8),0)</f>
        <v>0</v>
      </c>
      <c r="R11" s="1">
        <f>AVERAGE(I29)</f>
        <v>0.21</v>
      </c>
      <c r="S11" s="1">
        <f>I10*(1+Q11)</f>
        <v>0</v>
      </c>
    </row>
    <row r="12" spans="1:19">
      <c r="A12" s="275" t="s">
        <v>7</v>
      </c>
      <c r="B12" s="276"/>
      <c r="C12" s="294"/>
      <c r="D12" s="276"/>
      <c r="E12" s="276"/>
      <c r="F12" s="296"/>
      <c r="G12" s="276"/>
      <c r="H12" s="3"/>
      <c r="I12" s="3"/>
      <c r="J12" s="3"/>
      <c r="K12" s="3"/>
      <c r="L12" s="10"/>
      <c r="M12" s="4"/>
      <c r="N12" s="4"/>
      <c r="O12" s="4"/>
      <c r="P12" s="4"/>
    </row>
    <row r="13" spans="1:19" ht="15.95" customHeight="1">
      <c r="A13" s="277">
        <f>Souhrn!A13</f>
        <v>0</v>
      </c>
      <c r="B13" s="276"/>
      <c r="C13" s="276"/>
      <c r="D13" s="276"/>
      <c r="E13" s="276"/>
      <c r="F13" s="295"/>
      <c r="G13" s="276"/>
      <c r="H13" s="15" t="s">
        <v>8</v>
      </c>
      <c r="I13" s="13">
        <f>Souhrn!E13</f>
        <v>0</v>
      </c>
      <c r="J13" s="3"/>
      <c r="K13" s="3"/>
      <c r="L13" s="10"/>
      <c r="M13" s="4"/>
      <c r="N13" s="4"/>
      <c r="O13" s="4"/>
      <c r="P13" s="4"/>
    </row>
    <row r="14" spans="1:19">
      <c r="A14" s="9"/>
      <c r="B14" s="3"/>
      <c r="C14" s="3"/>
      <c r="D14" s="3"/>
      <c r="E14" s="3"/>
      <c r="F14" s="3"/>
      <c r="G14" s="3"/>
      <c r="H14" s="15" t="s">
        <v>9</v>
      </c>
      <c r="I14" s="13">
        <f>Souhrn!E14</f>
        <v>0</v>
      </c>
      <c r="J14" s="3"/>
      <c r="K14" s="3"/>
      <c r="L14" s="10"/>
      <c r="M14" s="4"/>
      <c r="N14" s="4"/>
      <c r="O14" s="4"/>
      <c r="P14" s="4"/>
    </row>
    <row r="15" spans="1:19" hidden="1">
      <c r="A15" s="9"/>
      <c r="B15" s="3"/>
      <c r="C15" s="3"/>
      <c r="D15" s="3"/>
      <c r="E15" s="3"/>
      <c r="F15" s="3"/>
      <c r="G15" s="3"/>
      <c r="H15" s="3"/>
      <c r="I15" s="3"/>
      <c r="J15" s="3"/>
      <c r="K15" s="3"/>
      <c r="L15" s="10"/>
      <c r="M15" s="4"/>
      <c r="N15" s="4"/>
      <c r="O15" s="4"/>
      <c r="P15" s="4"/>
    </row>
    <row r="16" spans="1:19" ht="9.9499999999999993" customHeight="1">
      <c r="A16" s="11"/>
      <c r="B16" s="5"/>
      <c r="C16" s="5"/>
      <c r="D16" s="5"/>
      <c r="E16" s="5"/>
      <c r="F16" s="5"/>
      <c r="G16" s="5"/>
      <c r="H16" s="5"/>
      <c r="I16" s="5"/>
      <c r="J16" s="5"/>
      <c r="K16" s="5"/>
      <c r="L16" s="12"/>
      <c r="M16" s="4"/>
      <c r="N16" s="4"/>
      <c r="O16" s="4"/>
      <c r="P16" s="4"/>
    </row>
    <row r="17" spans="1:19" ht="14.1" customHeight="1">
      <c r="A17" s="5"/>
      <c r="B17" s="289" t="s">
        <v>10</v>
      </c>
      <c r="C17" s="290"/>
      <c r="D17" s="5"/>
      <c r="E17" s="5"/>
      <c r="F17" s="5"/>
      <c r="G17" s="5"/>
      <c r="H17" s="5"/>
      <c r="I17" s="5"/>
      <c r="J17" s="5"/>
      <c r="K17" s="5"/>
      <c r="L17" s="5"/>
      <c r="M17" s="4"/>
      <c r="N17" s="4"/>
      <c r="O17" s="4"/>
      <c r="P17" s="4"/>
    </row>
    <row r="18" spans="1:19" ht="6" customHeight="1">
      <c r="A18" s="6"/>
      <c r="B18" s="273"/>
      <c r="C18" s="273"/>
      <c r="D18" s="7"/>
      <c r="E18" s="7"/>
      <c r="F18" s="7"/>
      <c r="G18" s="7"/>
      <c r="H18" s="7"/>
      <c r="I18" s="7"/>
      <c r="J18" s="7"/>
      <c r="K18" s="7"/>
      <c r="L18" s="8"/>
      <c r="M18" s="4"/>
      <c r="N18" s="4"/>
      <c r="O18" s="4"/>
      <c r="P18" s="4"/>
    </row>
    <row r="19" spans="1:19" ht="18" customHeight="1">
      <c r="A19" s="9"/>
      <c r="B19" s="291" t="s">
        <v>11</v>
      </c>
      <c r="C19" s="291"/>
      <c r="D19" s="291"/>
      <c r="E19" s="291" t="s">
        <v>12</v>
      </c>
      <c r="F19" s="292"/>
      <c r="G19" s="19"/>
      <c r="H19" s="19"/>
      <c r="I19" s="19"/>
      <c r="J19" s="19" t="s">
        <v>13</v>
      </c>
      <c r="K19" s="19" t="s">
        <v>14</v>
      </c>
      <c r="L19" s="10"/>
      <c r="M19" s="4"/>
      <c r="N19" s="4"/>
      <c r="O19" s="4"/>
      <c r="P19" s="4"/>
    </row>
    <row r="20" spans="1:19">
      <c r="A20" s="9"/>
      <c r="B20" s="287" t="s">
        <v>495</v>
      </c>
      <c r="C20" s="276"/>
      <c r="D20" s="276"/>
      <c r="E20" s="20" t="s">
        <v>494</v>
      </c>
      <c r="F20" s="3"/>
      <c r="G20" s="3"/>
      <c r="H20" s="3"/>
      <c r="I20" s="3"/>
      <c r="J20" s="21">
        <f>G29</f>
        <v>0</v>
      </c>
      <c r="K20" s="21">
        <f>K29</f>
        <v>0</v>
      </c>
      <c r="L20" s="10"/>
      <c r="M20" s="4"/>
      <c r="N20" s="4"/>
      <c r="O20" s="4"/>
      <c r="P20" s="4"/>
      <c r="S20" s="1">
        <f>S29</f>
        <v>0</v>
      </c>
    </row>
    <row r="21" spans="1:19">
      <c r="A21" s="11"/>
      <c r="B21" s="5"/>
      <c r="C21" s="5"/>
      <c r="D21" s="5"/>
      <c r="E21" s="5"/>
      <c r="F21" s="5"/>
      <c r="G21" s="5"/>
      <c r="H21" s="5"/>
      <c r="I21" s="5"/>
      <c r="J21" s="5"/>
      <c r="K21" s="5"/>
      <c r="L21" s="12"/>
      <c r="M21" s="4"/>
      <c r="N21" s="4"/>
      <c r="O21" s="4"/>
      <c r="P21" s="4"/>
    </row>
    <row r="22" spans="1:19" ht="14.1" customHeight="1">
      <c r="A22" s="5"/>
      <c r="B22" s="289" t="s">
        <v>15</v>
      </c>
      <c r="C22" s="290"/>
      <c r="D22" s="5"/>
      <c r="E22" s="5"/>
      <c r="F22" s="5"/>
      <c r="G22" s="5"/>
      <c r="H22" s="5"/>
      <c r="I22" s="5"/>
      <c r="J22" s="5"/>
      <c r="K22" s="5"/>
      <c r="L22" s="5"/>
      <c r="M22" s="4"/>
      <c r="N22" s="4"/>
      <c r="O22" s="4"/>
      <c r="P22" s="4"/>
    </row>
    <row r="23" spans="1:19" ht="18" customHeight="1">
      <c r="A23" s="6"/>
      <c r="B23" s="273"/>
      <c r="C23" s="273"/>
      <c r="D23" s="7"/>
      <c r="E23" s="7"/>
      <c r="F23" s="7"/>
      <c r="G23" s="7"/>
      <c r="H23" s="7"/>
      <c r="I23" s="7"/>
      <c r="J23" s="7"/>
      <c r="K23" s="7"/>
      <c r="L23" s="8"/>
      <c r="M23" s="4"/>
      <c r="N23" s="4"/>
      <c r="O23" s="4"/>
      <c r="P23" s="4"/>
    </row>
    <row r="24" spans="1:19" ht="18" customHeight="1">
      <c r="A24" s="9"/>
      <c r="B24" s="17" t="s">
        <v>16</v>
      </c>
      <c r="C24" s="17" t="s">
        <v>11</v>
      </c>
      <c r="D24" s="17" t="s">
        <v>17</v>
      </c>
      <c r="E24" s="17" t="s">
        <v>12</v>
      </c>
      <c r="F24" s="18" t="s">
        <v>18</v>
      </c>
      <c r="G24" s="19" t="s">
        <v>19</v>
      </c>
      <c r="H24" s="19" t="s">
        <v>20</v>
      </c>
      <c r="I24" s="19" t="s">
        <v>13</v>
      </c>
      <c r="J24" s="18" t="s">
        <v>21</v>
      </c>
      <c r="K24" s="19" t="s">
        <v>14</v>
      </c>
      <c r="L24" s="10"/>
      <c r="M24" s="4"/>
      <c r="N24" s="4"/>
      <c r="O24" s="4"/>
      <c r="P24" s="4"/>
    </row>
    <row r="25" spans="1:19" ht="39.950000000000003" customHeight="1">
      <c r="A25" s="9"/>
      <c r="B25" s="288" t="s">
        <v>492</v>
      </c>
      <c r="C25" s="276"/>
      <c r="D25" s="276"/>
      <c r="E25" s="276"/>
      <c r="F25" s="276"/>
      <c r="G25" s="276"/>
      <c r="H25" s="286"/>
      <c r="I25" s="276"/>
      <c r="J25" s="286"/>
      <c r="K25" s="276"/>
      <c r="L25" s="10"/>
      <c r="M25" s="4"/>
      <c r="N25" s="4"/>
      <c r="O25" s="4"/>
      <c r="P25" s="4"/>
    </row>
    <row r="26" spans="1:19">
      <c r="A26" s="9"/>
      <c r="B26" s="22">
        <v>1</v>
      </c>
      <c r="C26" s="23" t="s">
        <v>493</v>
      </c>
      <c r="D26" s="23" t="s">
        <v>92</v>
      </c>
      <c r="E26" s="23" t="s">
        <v>494</v>
      </c>
      <c r="F26" s="24" t="s">
        <v>40</v>
      </c>
      <c r="G26" s="25">
        <f>ROUND(1,3)</f>
        <v>1</v>
      </c>
      <c r="H26" s="271">
        <f>ROUND('SO 801.2.2 - Rozvojová pé...'!J96,2)</f>
        <v>0</v>
      </c>
      <c r="I26" s="26">
        <f>ROUND(H26*G26,2)</f>
        <v>0</v>
      </c>
      <c r="J26" s="45" t="s">
        <v>25</v>
      </c>
      <c r="K26" s="26">
        <f>IF(ISNUMBER(J26),ROUND(I26*(J26+1),2),0)</f>
        <v>0</v>
      </c>
      <c r="L26" s="10"/>
      <c r="M26" s="4"/>
      <c r="N26" s="4"/>
      <c r="O26" s="4"/>
      <c r="P26" s="4"/>
      <c r="Q26" s="1">
        <f>IF(ISNUMBER(J26),IF(G26&gt;0,IF(H26&gt;0,I26,0),0),0)</f>
        <v>0</v>
      </c>
      <c r="R26" s="1">
        <f>IF(ISNUMBER(J26)=FALSE,I26,0)</f>
        <v>0</v>
      </c>
    </row>
    <row r="27" spans="1:19">
      <c r="A27" s="9"/>
      <c r="B27" s="283" t="s">
        <v>27</v>
      </c>
      <c r="C27" s="276"/>
      <c r="D27" s="276"/>
      <c r="E27" s="27" t="s">
        <v>25</v>
      </c>
      <c r="F27" s="3"/>
      <c r="G27" s="3"/>
      <c r="H27" s="39"/>
      <c r="I27" s="3"/>
      <c r="J27" s="39"/>
      <c r="K27" s="3"/>
      <c r="L27" s="10"/>
      <c r="M27" s="4"/>
      <c r="N27" s="4"/>
      <c r="O27" s="4"/>
      <c r="P27" s="4"/>
    </row>
    <row r="28" spans="1:19" ht="13.5" thickBot="1">
      <c r="A28" s="9"/>
      <c r="B28" s="281" t="s">
        <v>28</v>
      </c>
      <c r="C28" s="282"/>
      <c r="D28" s="282"/>
      <c r="E28" s="29" t="s">
        <v>25</v>
      </c>
      <c r="F28" s="28"/>
      <c r="G28" s="28"/>
      <c r="H28" s="41"/>
      <c r="I28" s="28"/>
      <c r="J28" s="41"/>
      <c r="K28" s="28"/>
      <c r="L28" s="10"/>
      <c r="M28" s="4"/>
      <c r="N28" s="4"/>
      <c r="O28" s="4"/>
      <c r="P28" s="4"/>
    </row>
    <row r="29" spans="1:19" ht="24.95" customHeight="1" thickTop="1" thickBot="1">
      <c r="A29" s="9"/>
      <c r="B29" s="32"/>
      <c r="C29" s="33" t="s">
        <v>495</v>
      </c>
      <c r="D29" s="32"/>
      <c r="E29" s="34" t="s">
        <v>494</v>
      </c>
      <c r="F29" s="35" t="s">
        <v>44</v>
      </c>
      <c r="G29" s="36">
        <f>0+I26</f>
        <v>0</v>
      </c>
      <c r="H29" s="43" t="s">
        <v>45</v>
      </c>
      <c r="I29" s="37">
        <f>IF(COUNT(J26:J29)&gt;0,AVERAGE(J26:J29),0.21)</f>
        <v>0.21</v>
      </c>
      <c r="J29" s="43" t="s">
        <v>46</v>
      </c>
      <c r="K29" s="36">
        <f>ROUND(Q29*(1+I29),2)+R29</f>
        <v>0</v>
      </c>
      <c r="L29" s="10"/>
      <c r="M29" s="4"/>
      <c r="N29" s="4"/>
      <c r="O29" s="4"/>
      <c r="P29" s="4"/>
      <c r="Q29" s="1">
        <f>0+Q26</f>
        <v>0</v>
      </c>
      <c r="R29" s="1">
        <f>0+R26</f>
        <v>0</v>
      </c>
      <c r="S29" s="2">
        <f>Q29*(1+I29)+R29</f>
        <v>0</v>
      </c>
    </row>
    <row r="30" spans="1:19">
      <c r="A30" s="11"/>
      <c r="B30" s="5"/>
      <c r="C30" s="5"/>
      <c r="D30" s="5"/>
      <c r="E30" s="38"/>
      <c r="F30" s="5"/>
      <c r="G30" s="5"/>
      <c r="H30" s="44"/>
      <c r="I30" s="5"/>
      <c r="J30" s="44"/>
      <c r="K30" s="5"/>
      <c r="L30" s="12"/>
      <c r="M30" s="4"/>
      <c r="N30" s="4"/>
      <c r="O30" s="4"/>
      <c r="P30" s="4"/>
    </row>
  </sheetData>
  <autoFilter ref="A1:S1" xr:uid="{00000000-0009-0000-0000-000011000000}">
    <filterColumn colId="3" showButton="0"/>
  </autoFilter>
  <mergeCells count="18">
    <mergeCell ref="A1:A2"/>
    <mergeCell ref="A3:F3"/>
    <mergeCell ref="B4:C5"/>
    <mergeCell ref="B6:I6"/>
    <mergeCell ref="D1:E2"/>
    <mergeCell ref="B8:C9"/>
    <mergeCell ref="A10:D10"/>
    <mergeCell ref="A11:G11"/>
    <mergeCell ref="A12:G12"/>
    <mergeCell ref="A13:G13"/>
    <mergeCell ref="B28:D28"/>
    <mergeCell ref="B25:K25"/>
    <mergeCell ref="B20:D20"/>
    <mergeCell ref="B17:C18"/>
    <mergeCell ref="B19:D19"/>
    <mergeCell ref="E19:F19"/>
    <mergeCell ref="B22:C23"/>
    <mergeCell ref="B27:D27"/>
  </mergeCells>
  <pageMargins left="0.39370078740157499" right="0.39370078740157499" top="0.59055118110236204" bottom="0.39370078740157499" header="0.196850393700787" footer="0.15748031496063"/>
  <pageSetup paperSize="9" fitToHeight="0" orientation="portrait"/>
  <headerFooter>
    <oddFooter>&amp;CLÁVKA PŘES LABE V NYMBURKU | Rozvojová péče na vegetaci&amp;R&amp;P/&amp;N</oddFooter>
  </headerFooter>
  <drawing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19003-1905-44B9-8D7D-25F346C499D1}">
  <sheetPr>
    <tabColor theme="7" tint="0.39997558519241921"/>
    <pageSetUpPr fitToPage="1"/>
  </sheetPr>
  <dimension ref="A1:U61"/>
  <sheetViews>
    <sheetView showGridLines="0" zoomScaleNormal="100" workbookViewId="0"/>
  </sheetViews>
  <sheetFormatPr defaultRowHeight="15" outlineLevelRow="1"/>
  <cols>
    <col min="1" max="1" width="4.7109375" style="61" customWidth="1"/>
    <col min="2" max="2" width="3.5703125" style="61" customWidth="1"/>
    <col min="3" max="3" width="6.7109375" style="61" customWidth="1"/>
    <col min="4" max="4" width="4.85546875" style="61" customWidth="1"/>
    <col min="5" max="5" width="5" style="61" customWidth="1"/>
    <col min="6" max="6" width="4.7109375" style="61" customWidth="1"/>
    <col min="7" max="7" width="9" style="61" customWidth="1"/>
    <col min="8" max="8" width="15.140625" style="61" customWidth="1"/>
    <col min="9" max="9" width="55.42578125" style="61" customWidth="1"/>
    <col min="10" max="10" width="5" style="61" customWidth="1"/>
    <col min="11" max="11" width="11.7109375" style="61" customWidth="1"/>
    <col min="12" max="12" width="13.5703125" style="61" customWidth="1"/>
    <col min="13" max="13" width="8.140625" style="61" customWidth="1"/>
    <col min="14" max="14" width="15.42578125" style="61" customWidth="1"/>
    <col min="15" max="17" width="11.7109375" style="61" customWidth="1"/>
    <col min="18" max="18" width="6.28515625" style="61" customWidth="1"/>
    <col min="19" max="19" width="15" style="61" customWidth="1"/>
    <col min="20" max="20" width="24.85546875" style="61" customWidth="1"/>
    <col min="21" max="21" width="18.85546875" style="61" customWidth="1"/>
    <col min="22" max="256" width="9.140625" style="61"/>
    <col min="257" max="257" width="4.7109375" style="61" customWidth="1"/>
    <col min="258" max="258" width="3.5703125" style="61" customWidth="1"/>
    <col min="259" max="259" width="6.7109375" style="61" customWidth="1"/>
    <col min="260" max="260" width="4.85546875" style="61" customWidth="1"/>
    <col min="261" max="261" width="5" style="61" customWidth="1"/>
    <col min="262" max="262" width="4.7109375" style="61" customWidth="1"/>
    <col min="263" max="263" width="9" style="61" customWidth="1"/>
    <col min="264" max="264" width="15.140625" style="61" customWidth="1"/>
    <col min="265" max="265" width="55.42578125" style="61" customWidth="1"/>
    <col min="266" max="266" width="5" style="61" customWidth="1"/>
    <col min="267" max="267" width="11.7109375" style="61" customWidth="1"/>
    <col min="268" max="268" width="13.5703125" style="61" customWidth="1"/>
    <col min="269" max="269" width="8.140625" style="61" customWidth="1"/>
    <col min="270" max="270" width="15.42578125" style="61" customWidth="1"/>
    <col min="271" max="273" width="11.7109375" style="61" customWidth="1"/>
    <col min="274" max="274" width="6.28515625" style="61" customWidth="1"/>
    <col min="275" max="275" width="15" style="61" customWidth="1"/>
    <col min="276" max="276" width="24.85546875" style="61" customWidth="1"/>
    <col min="277" max="277" width="18.85546875" style="61" customWidth="1"/>
    <col min="278" max="512" width="9.140625" style="61"/>
    <col min="513" max="513" width="4.7109375" style="61" customWidth="1"/>
    <col min="514" max="514" width="3.5703125" style="61" customWidth="1"/>
    <col min="515" max="515" width="6.7109375" style="61" customWidth="1"/>
    <col min="516" max="516" width="4.85546875" style="61" customWidth="1"/>
    <col min="517" max="517" width="5" style="61" customWidth="1"/>
    <col min="518" max="518" width="4.7109375" style="61" customWidth="1"/>
    <col min="519" max="519" width="9" style="61" customWidth="1"/>
    <col min="520" max="520" width="15.140625" style="61" customWidth="1"/>
    <col min="521" max="521" width="55.42578125" style="61" customWidth="1"/>
    <col min="522" max="522" width="5" style="61" customWidth="1"/>
    <col min="523" max="523" width="11.7109375" style="61" customWidth="1"/>
    <col min="524" max="524" width="13.5703125" style="61" customWidth="1"/>
    <col min="525" max="525" width="8.140625" style="61" customWidth="1"/>
    <col min="526" max="526" width="15.42578125" style="61" customWidth="1"/>
    <col min="527" max="529" width="11.7109375" style="61" customWidth="1"/>
    <col min="530" max="530" width="6.28515625" style="61" customWidth="1"/>
    <col min="531" max="531" width="15" style="61" customWidth="1"/>
    <col min="532" max="532" width="24.85546875" style="61" customWidth="1"/>
    <col min="533" max="533" width="18.85546875" style="61" customWidth="1"/>
    <col min="534" max="768" width="9.140625" style="61"/>
    <col min="769" max="769" width="4.7109375" style="61" customWidth="1"/>
    <col min="770" max="770" width="3.5703125" style="61" customWidth="1"/>
    <col min="771" max="771" width="6.7109375" style="61" customWidth="1"/>
    <col min="772" max="772" width="4.85546875" style="61" customWidth="1"/>
    <col min="773" max="773" width="5" style="61" customWidth="1"/>
    <col min="774" max="774" width="4.7109375" style="61" customWidth="1"/>
    <col min="775" max="775" width="9" style="61" customWidth="1"/>
    <col min="776" max="776" width="15.140625" style="61" customWidth="1"/>
    <col min="777" max="777" width="55.42578125" style="61" customWidth="1"/>
    <col min="778" max="778" width="5" style="61" customWidth="1"/>
    <col min="779" max="779" width="11.7109375" style="61" customWidth="1"/>
    <col min="780" max="780" width="13.5703125" style="61" customWidth="1"/>
    <col min="781" max="781" width="8.140625" style="61" customWidth="1"/>
    <col min="782" max="782" width="15.42578125" style="61" customWidth="1"/>
    <col min="783" max="785" width="11.7109375" style="61" customWidth="1"/>
    <col min="786" max="786" width="6.28515625" style="61" customWidth="1"/>
    <col min="787" max="787" width="15" style="61" customWidth="1"/>
    <col min="788" max="788" width="24.85546875" style="61" customWidth="1"/>
    <col min="789" max="789" width="18.85546875" style="61" customWidth="1"/>
    <col min="790" max="1024" width="9.140625" style="61"/>
    <col min="1025" max="1025" width="4.7109375" style="61" customWidth="1"/>
    <col min="1026" max="1026" width="3.5703125" style="61" customWidth="1"/>
    <col min="1027" max="1027" width="6.7109375" style="61" customWidth="1"/>
    <col min="1028" max="1028" width="4.85546875" style="61" customWidth="1"/>
    <col min="1029" max="1029" width="5" style="61" customWidth="1"/>
    <col min="1030" max="1030" width="4.7109375" style="61" customWidth="1"/>
    <col min="1031" max="1031" width="9" style="61" customWidth="1"/>
    <col min="1032" max="1032" width="15.140625" style="61" customWidth="1"/>
    <col min="1033" max="1033" width="55.42578125" style="61" customWidth="1"/>
    <col min="1034" max="1034" width="5" style="61" customWidth="1"/>
    <col min="1035" max="1035" width="11.7109375" style="61" customWidth="1"/>
    <col min="1036" max="1036" width="13.5703125" style="61" customWidth="1"/>
    <col min="1037" max="1037" width="8.140625" style="61" customWidth="1"/>
    <col min="1038" max="1038" width="15.42578125" style="61" customWidth="1"/>
    <col min="1039" max="1041" width="11.7109375" style="61" customWidth="1"/>
    <col min="1042" max="1042" width="6.28515625" style="61" customWidth="1"/>
    <col min="1043" max="1043" width="15" style="61" customWidth="1"/>
    <col min="1044" max="1044" width="24.85546875" style="61" customWidth="1"/>
    <col min="1045" max="1045" width="18.85546875" style="61" customWidth="1"/>
    <col min="1046" max="1280" width="9.140625" style="61"/>
    <col min="1281" max="1281" width="4.7109375" style="61" customWidth="1"/>
    <col min="1282" max="1282" width="3.5703125" style="61" customWidth="1"/>
    <col min="1283" max="1283" width="6.7109375" style="61" customWidth="1"/>
    <col min="1284" max="1284" width="4.85546875" style="61" customWidth="1"/>
    <col min="1285" max="1285" width="5" style="61" customWidth="1"/>
    <col min="1286" max="1286" width="4.7109375" style="61" customWidth="1"/>
    <col min="1287" max="1287" width="9" style="61" customWidth="1"/>
    <col min="1288" max="1288" width="15.140625" style="61" customWidth="1"/>
    <col min="1289" max="1289" width="55.42578125" style="61" customWidth="1"/>
    <col min="1290" max="1290" width="5" style="61" customWidth="1"/>
    <col min="1291" max="1291" width="11.7109375" style="61" customWidth="1"/>
    <col min="1292" max="1292" width="13.5703125" style="61" customWidth="1"/>
    <col min="1293" max="1293" width="8.140625" style="61" customWidth="1"/>
    <col min="1294" max="1294" width="15.42578125" style="61" customWidth="1"/>
    <col min="1295" max="1297" width="11.7109375" style="61" customWidth="1"/>
    <col min="1298" max="1298" width="6.28515625" style="61" customWidth="1"/>
    <col min="1299" max="1299" width="15" style="61" customWidth="1"/>
    <col min="1300" max="1300" width="24.85546875" style="61" customWidth="1"/>
    <col min="1301" max="1301" width="18.85546875" style="61" customWidth="1"/>
    <col min="1302" max="1536" width="9.140625" style="61"/>
    <col min="1537" max="1537" width="4.7109375" style="61" customWidth="1"/>
    <col min="1538" max="1538" width="3.5703125" style="61" customWidth="1"/>
    <col min="1539" max="1539" width="6.7109375" style="61" customWidth="1"/>
    <col min="1540" max="1540" width="4.85546875" style="61" customWidth="1"/>
    <col min="1541" max="1541" width="5" style="61" customWidth="1"/>
    <col min="1542" max="1542" width="4.7109375" style="61" customWidth="1"/>
    <col min="1543" max="1543" width="9" style="61" customWidth="1"/>
    <col min="1544" max="1544" width="15.140625" style="61" customWidth="1"/>
    <col min="1545" max="1545" width="55.42578125" style="61" customWidth="1"/>
    <col min="1546" max="1546" width="5" style="61" customWidth="1"/>
    <col min="1547" max="1547" width="11.7109375" style="61" customWidth="1"/>
    <col min="1548" max="1548" width="13.5703125" style="61" customWidth="1"/>
    <col min="1549" max="1549" width="8.140625" style="61" customWidth="1"/>
    <col min="1550" max="1550" width="15.42578125" style="61" customWidth="1"/>
    <col min="1551" max="1553" width="11.7109375" style="61" customWidth="1"/>
    <col min="1554" max="1554" width="6.28515625" style="61" customWidth="1"/>
    <col min="1555" max="1555" width="15" style="61" customWidth="1"/>
    <col min="1556" max="1556" width="24.85546875" style="61" customWidth="1"/>
    <col min="1557" max="1557" width="18.85546875" style="61" customWidth="1"/>
    <col min="1558" max="1792" width="9.140625" style="61"/>
    <col min="1793" max="1793" width="4.7109375" style="61" customWidth="1"/>
    <col min="1794" max="1794" width="3.5703125" style="61" customWidth="1"/>
    <col min="1795" max="1795" width="6.7109375" style="61" customWidth="1"/>
    <col min="1796" max="1796" width="4.85546875" style="61" customWidth="1"/>
    <col min="1797" max="1797" width="5" style="61" customWidth="1"/>
    <col min="1798" max="1798" width="4.7109375" style="61" customWidth="1"/>
    <col min="1799" max="1799" width="9" style="61" customWidth="1"/>
    <col min="1800" max="1800" width="15.140625" style="61" customWidth="1"/>
    <col min="1801" max="1801" width="55.42578125" style="61" customWidth="1"/>
    <col min="1802" max="1802" width="5" style="61" customWidth="1"/>
    <col min="1803" max="1803" width="11.7109375" style="61" customWidth="1"/>
    <col min="1804" max="1804" width="13.5703125" style="61" customWidth="1"/>
    <col min="1805" max="1805" width="8.140625" style="61" customWidth="1"/>
    <col min="1806" max="1806" width="15.42578125" style="61" customWidth="1"/>
    <col min="1807" max="1809" width="11.7109375" style="61" customWidth="1"/>
    <col min="1810" max="1810" width="6.28515625" style="61" customWidth="1"/>
    <col min="1811" max="1811" width="15" style="61" customWidth="1"/>
    <col min="1812" max="1812" width="24.85546875" style="61" customWidth="1"/>
    <col min="1813" max="1813" width="18.85546875" style="61" customWidth="1"/>
    <col min="1814" max="2048" width="9.140625" style="61"/>
    <col min="2049" max="2049" width="4.7109375" style="61" customWidth="1"/>
    <col min="2050" max="2050" width="3.5703125" style="61" customWidth="1"/>
    <col min="2051" max="2051" width="6.7109375" style="61" customWidth="1"/>
    <col min="2052" max="2052" width="4.85546875" style="61" customWidth="1"/>
    <col min="2053" max="2053" width="5" style="61" customWidth="1"/>
    <col min="2054" max="2054" width="4.7109375" style="61" customWidth="1"/>
    <col min="2055" max="2055" width="9" style="61" customWidth="1"/>
    <col min="2056" max="2056" width="15.140625" style="61" customWidth="1"/>
    <col min="2057" max="2057" width="55.42578125" style="61" customWidth="1"/>
    <col min="2058" max="2058" width="5" style="61" customWidth="1"/>
    <col min="2059" max="2059" width="11.7109375" style="61" customWidth="1"/>
    <col min="2060" max="2060" width="13.5703125" style="61" customWidth="1"/>
    <col min="2061" max="2061" width="8.140625" style="61" customWidth="1"/>
    <col min="2062" max="2062" width="15.42578125" style="61" customWidth="1"/>
    <col min="2063" max="2065" width="11.7109375" style="61" customWidth="1"/>
    <col min="2066" max="2066" width="6.28515625" style="61" customWidth="1"/>
    <col min="2067" max="2067" width="15" style="61" customWidth="1"/>
    <col min="2068" max="2068" width="24.85546875" style="61" customWidth="1"/>
    <col min="2069" max="2069" width="18.85546875" style="61" customWidth="1"/>
    <col min="2070" max="2304" width="9.140625" style="61"/>
    <col min="2305" max="2305" width="4.7109375" style="61" customWidth="1"/>
    <col min="2306" max="2306" width="3.5703125" style="61" customWidth="1"/>
    <col min="2307" max="2307" width="6.7109375" style="61" customWidth="1"/>
    <col min="2308" max="2308" width="4.85546875" style="61" customWidth="1"/>
    <col min="2309" max="2309" width="5" style="61" customWidth="1"/>
    <col min="2310" max="2310" width="4.7109375" style="61" customWidth="1"/>
    <col min="2311" max="2311" width="9" style="61" customWidth="1"/>
    <col min="2312" max="2312" width="15.140625" style="61" customWidth="1"/>
    <col min="2313" max="2313" width="55.42578125" style="61" customWidth="1"/>
    <col min="2314" max="2314" width="5" style="61" customWidth="1"/>
    <col min="2315" max="2315" width="11.7109375" style="61" customWidth="1"/>
    <col min="2316" max="2316" width="13.5703125" style="61" customWidth="1"/>
    <col min="2317" max="2317" width="8.140625" style="61" customWidth="1"/>
    <col min="2318" max="2318" width="15.42578125" style="61" customWidth="1"/>
    <col min="2319" max="2321" width="11.7109375" style="61" customWidth="1"/>
    <col min="2322" max="2322" width="6.28515625" style="61" customWidth="1"/>
    <col min="2323" max="2323" width="15" style="61" customWidth="1"/>
    <col min="2324" max="2324" width="24.85546875" style="61" customWidth="1"/>
    <col min="2325" max="2325" width="18.85546875" style="61" customWidth="1"/>
    <col min="2326" max="2560" width="9.140625" style="61"/>
    <col min="2561" max="2561" width="4.7109375" style="61" customWidth="1"/>
    <col min="2562" max="2562" width="3.5703125" style="61" customWidth="1"/>
    <col min="2563" max="2563" width="6.7109375" style="61" customWidth="1"/>
    <col min="2564" max="2564" width="4.85546875" style="61" customWidth="1"/>
    <col min="2565" max="2565" width="5" style="61" customWidth="1"/>
    <col min="2566" max="2566" width="4.7109375" style="61" customWidth="1"/>
    <col min="2567" max="2567" width="9" style="61" customWidth="1"/>
    <col min="2568" max="2568" width="15.140625" style="61" customWidth="1"/>
    <col min="2569" max="2569" width="55.42578125" style="61" customWidth="1"/>
    <col min="2570" max="2570" width="5" style="61" customWidth="1"/>
    <col min="2571" max="2571" width="11.7109375" style="61" customWidth="1"/>
    <col min="2572" max="2572" width="13.5703125" style="61" customWidth="1"/>
    <col min="2573" max="2573" width="8.140625" style="61" customWidth="1"/>
    <col min="2574" max="2574" width="15.42578125" style="61" customWidth="1"/>
    <col min="2575" max="2577" width="11.7109375" style="61" customWidth="1"/>
    <col min="2578" max="2578" width="6.28515625" style="61" customWidth="1"/>
    <col min="2579" max="2579" width="15" style="61" customWidth="1"/>
    <col min="2580" max="2580" width="24.85546875" style="61" customWidth="1"/>
    <col min="2581" max="2581" width="18.85546875" style="61" customWidth="1"/>
    <col min="2582" max="2816" width="9.140625" style="61"/>
    <col min="2817" max="2817" width="4.7109375" style="61" customWidth="1"/>
    <col min="2818" max="2818" width="3.5703125" style="61" customWidth="1"/>
    <col min="2819" max="2819" width="6.7109375" style="61" customWidth="1"/>
    <col min="2820" max="2820" width="4.85546875" style="61" customWidth="1"/>
    <col min="2821" max="2821" width="5" style="61" customWidth="1"/>
    <col min="2822" max="2822" width="4.7109375" style="61" customWidth="1"/>
    <col min="2823" max="2823" width="9" style="61" customWidth="1"/>
    <col min="2824" max="2824" width="15.140625" style="61" customWidth="1"/>
    <col min="2825" max="2825" width="55.42578125" style="61" customWidth="1"/>
    <col min="2826" max="2826" width="5" style="61" customWidth="1"/>
    <col min="2827" max="2827" width="11.7109375" style="61" customWidth="1"/>
    <col min="2828" max="2828" width="13.5703125" style="61" customWidth="1"/>
    <col min="2829" max="2829" width="8.140625" style="61" customWidth="1"/>
    <col min="2830" max="2830" width="15.42578125" style="61" customWidth="1"/>
    <col min="2831" max="2833" width="11.7109375" style="61" customWidth="1"/>
    <col min="2834" max="2834" width="6.28515625" style="61" customWidth="1"/>
    <col min="2835" max="2835" width="15" style="61" customWidth="1"/>
    <col min="2836" max="2836" width="24.85546875" style="61" customWidth="1"/>
    <col min="2837" max="2837" width="18.85546875" style="61" customWidth="1"/>
    <col min="2838" max="3072" width="9.140625" style="61"/>
    <col min="3073" max="3073" width="4.7109375" style="61" customWidth="1"/>
    <col min="3074" max="3074" width="3.5703125" style="61" customWidth="1"/>
    <col min="3075" max="3075" width="6.7109375" style="61" customWidth="1"/>
    <col min="3076" max="3076" width="4.85546875" style="61" customWidth="1"/>
    <col min="3077" max="3077" width="5" style="61" customWidth="1"/>
    <col min="3078" max="3078" width="4.7109375" style="61" customWidth="1"/>
    <col min="3079" max="3079" width="9" style="61" customWidth="1"/>
    <col min="3080" max="3080" width="15.140625" style="61" customWidth="1"/>
    <col min="3081" max="3081" width="55.42578125" style="61" customWidth="1"/>
    <col min="3082" max="3082" width="5" style="61" customWidth="1"/>
    <col min="3083" max="3083" width="11.7109375" style="61" customWidth="1"/>
    <col min="3084" max="3084" width="13.5703125" style="61" customWidth="1"/>
    <col min="3085" max="3085" width="8.140625" style="61" customWidth="1"/>
    <col min="3086" max="3086" width="15.42578125" style="61" customWidth="1"/>
    <col min="3087" max="3089" width="11.7109375" style="61" customWidth="1"/>
    <col min="3090" max="3090" width="6.28515625" style="61" customWidth="1"/>
    <col min="3091" max="3091" width="15" style="61" customWidth="1"/>
    <col min="3092" max="3092" width="24.85546875" style="61" customWidth="1"/>
    <col min="3093" max="3093" width="18.85546875" style="61" customWidth="1"/>
    <col min="3094" max="3328" width="9.140625" style="61"/>
    <col min="3329" max="3329" width="4.7109375" style="61" customWidth="1"/>
    <col min="3330" max="3330" width="3.5703125" style="61" customWidth="1"/>
    <col min="3331" max="3331" width="6.7109375" style="61" customWidth="1"/>
    <col min="3332" max="3332" width="4.85546875" style="61" customWidth="1"/>
    <col min="3333" max="3333" width="5" style="61" customWidth="1"/>
    <col min="3334" max="3334" width="4.7109375" style="61" customWidth="1"/>
    <col min="3335" max="3335" width="9" style="61" customWidth="1"/>
    <col min="3336" max="3336" width="15.140625" style="61" customWidth="1"/>
    <col min="3337" max="3337" width="55.42578125" style="61" customWidth="1"/>
    <col min="3338" max="3338" width="5" style="61" customWidth="1"/>
    <col min="3339" max="3339" width="11.7109375" style="61" customWidth="1"/>
    <col min="3340" max="3340" width="13.5703125" style="61" customWidth="1"/>
    <col min="3341" max="3341" width="8.140625" style="61" customWidth="1"/>
    <col min="3342" max="3342" width="15.42578125" style="61" customWidth="1"/>
    <col min="3343" max="3345" width="11.7109375" style="61" customWidth="1"/>
    <col min="3346" max="3346" width="6.28515625" style="61" customWidth="1"/>
    <col min="3347" max="3347" width="15" style="61" customWidth="1"/>
    <col min="3348" max="3348" width="24.85546875" style="61" customWidth="1"/>
    <col min="3349" max="3349" width="18.85546875" style="61" customWidth="1"/>
    <col min="3350" max="3584" width="9.140625" style="61"/>
    <col min="3585" max="3585" width="4.7109375" style="61" customWidth="1"/>
    <col min="3586" max="3586" width="3.5703125" style="61" customWidth="1"/>
    <col min="3587" max="3587" width="6.7109375" style="61" customWidth="1"/>
    <col min="3588" max="3588" width="4.85546875" style="61" customWidth="1"/>
    <col min="3589" max="3589" width="5" style="61" customWidth="1"/>
    <col min="3590" max="3590" width="4.7109375" style="61" customWidth="1"/>
    <col min="3591" max="3591" width="9" style="61" customWidth="1"/>
    <col min="3592" max="3592" width="15.140625" style="61" customWidth="1"/>
    <col min="3593" max="3593" width="55.42578125" style="61" customWidth="1"/>
    <col min="3594" max="3594" width="5" style="61" customWidth="1"/>
    <col min="3595" max="3595" width="11.7109375" style="61" customWidth="1"/>
    <col min="3596" max="3596" width="13.5703125" style="61" customWidth="1"/>
    <col min="3597" max="3597" width="8.140625" style="61" customWidth="1"/>
    <col min="3598" max="3598" width="15.42578125" style="61" customWidth="1"/>
    <col min="3599" max="3601" width="11.7109375" style="61" customWidth="1"/>
    <col min="3602" max="3602" width="6.28515625" style="61" customWidth="1"/>
    <col min="3603" max="3603" width="15" style="61" customWidth="1"/>
    <col min="3604" max="3604" width="24.85546875" style="61" customWidth="1"/>
    <col min="3605" max="3605" width="18.85546875" style="61" customWidth="1"/>
    <col min="3606" max="3840" width="9.140625" style="61"/>
    <col min="3841" max="3841" width="4.7109375" style="61" customWidth="1"/>
    <col min="3842" max="3842" width="3.5703125" style="61" customWidth="1"/>
    <col min="3843" max="3843" width="6.7109375" style="61" customWidth="1"/>
    <col min="3844" max="3844" width="4.85546875" style="61" customWidth="1"/>
    <col min="3845" max="3845" width="5" style="61" customWidth="1"/>
    <col min="3846" max="3846" width="4.7109375" style="61" customWidth="1"/>
    <col min="3847" max="3847" width="9" style="61" customWidth="1"/>
    <col min="3848" max="3848" width="15.140625" style="61" customWidth="1"/>
    <col min="3849" max="3849" width="55.42578125" style="61" customWidth="1"/>
    <col min="3850" max="3850" width="5" style="61" customWidth="1"/>
    <col min="3851" max="3851" width="11.7109375" style="61" customWidth="1"/>
    <col min="3852" max="3852" width="13.5703125" style="61" customWidth="1"/>
    <col min="3853" max="3853" width="8.140625" style="61" customWidth="1"/>
    <col min="3854" max="3854" width="15.42578125" style="61" customWidth="1"/>
    <col min="3855" max="3857" width="11.7109375" style="61" customWidth="1"/>
    <col min="3858" max="3858" width="6.28515625" style="61" customWidth="1"/>
    <col min="3859" max="3859" width="15" style="61" customWidth="1"/>
    <col min="3860" max="3860" width="24.85546875" style="61" customWidth="1"/>
    <col min="3861" max="3861" width="18.85546875" style="61" customWidth="1"/>
    <col min="3862" max="4096" width="9.140625" style="61"/>
    <col min="4097" max="4097" width="4.7109375" style="61" customWidth="1"/>
    <col min="4098" max="4098" width="3.5703125" style="61" customWidth="1"/>
    <col min="4099" max="4099" width="6.7109375" style="61" customWidth="1"/>
    <col min="4100" max="4100" width="4.85546875" style="61" customWidth="1"/>
    <col min="4101" max="4101" width="5" style="61" customWidth="1"/>
    <col min="4102" max="4102" width="4.7109375" style="61" customWidth="1"/>
    <col min="4103" max="4103" width="9" style="61" customWidth="1"/>
    <col min="4104" max="4104" width="15.140625" style="61" customWidth="1"/>
    <col min="4105" max="4105" width="55.42578125" style="61" customWidth="1"/>
    <col min="4106" max="4106" width="5" style="61" customWidth="1"/>
    <col min="4107" max="4107" width="11.7109375" style="61" customWidth="1"/>
    <col min="4108" max="4108" width="13.5703125" style="61" customWidth="1"/>
    <col min="4109" max="4109" width="8.140625" style="61" customWidth="1"/>
    <col min="4110" max="4110" width="15.42578125" style="61" customWidth="1"/>
    <col min="4111" max="4113" width="11.7109375" style="61" customWidth="1"/>
    <col min="4114" max="4114" width="6.28515625" style="61" customWidth="1"/>
    <col min="4115" max="4115" width="15" style="61" customWidth="1"/>
    <col min="4116" max="4116" width="24.85546875" style="61" customWidth="1"/>
    <col min="4117" max="4117" width="18.85546875" style="61" customWidth="1"/>
    <col min="4118" max="4352" width="9.140625" style="61"/>
    <col min="4353" max="4353" width="4.7109375" style="61" customWidth="1"/>
    <col min="4354" max="4354" width="3.5703125" style="61" customWidth="1"/>
    <col min="4355" max="4355" width="6.7109375" style="61" customWidth="1"/>
    <col min="4356" max="4356" width="4.85546875" style="61" customWidth="1"/>
    <col min="4357" max="4357" width="5" style="61" customWidth="1"/>
    <col min="4358" max="4358" width="4.7109375" style="61" customWidth="1"/>
    <col min="4359" max="4359" width="9" style="61" customWidth="1"/>
    <col min="4360" max="4360" width="15.140625" style="61" customWidth="1"/>
    <col min="4361" max="4361" width="55.42578125" style="61" customWidth="1"/>
    <col min="4362" max="4362" width="5" style="61" customWidth="1"/>
    <col min="4363" max="4363" width="11.7109375" style="61" customWidth="1"/>
    <col min="4364" max="4364" width="13.5703125" style="61" customWidth="1"/>
    <col min="4365" max="4365" width="8.140625" style="61" customWidth="1"/>
    <col min="4366" max="4366" width="15.42578125" style="61" customWidth="1"/>
    <col min="4367" max="4369" width="11.7109375" style="61" customWidth="1"/>
    <col min="4370" max="4370" width="6.28515625" style="61" customWidth="1"/>
    <col min="4371" max="4371" width="15" style="61" customWidth="1"/>
    <col min="4372" max="4372" width="24.85546875" style="61" customWidth="1"/>
    <col min="4373" max="4373" width="18.85546875" style="61" customWidth="1"/>
    <col min="4374" max="4608" width="9.140625" style="61"/>
    <col min="4609" max="4609" width="4.7109375" style="61" customWidth="1"/>
    <col min="4610" max="4610" width="3.5703125" style="61" customWidth="1"/>
    <col min="4611" max="4611" width="6.7109375" style="61" customWidth="1"/>
    <col min="4612" max="4612" width="4.85546875" style="61" customWidth="1"/>
    <col min="4613" max="4613" width="5" style="61" customWidth="1"/>
    <col min="4614" max="4614" width="4.7109375" style="61" customWidth="1"/>
    <col min="4615" max="4615" width="9" style="61" customWidth="1"/>
    <col min="4616" max="4616" width="15.140625" style="61" customWidth="1"/>
    <col min="4617" max="4617" width="55.42578125" style="61" customWidth="1"/>
    <col min="4618" max="4618" width="5" style="61" customWidth="1"/>
    <col min="4619" max="4619" width="11.7109375" style="61" customWidth="1"/>
    <col min="4620" max="4620" width="13.5703125" style="61" customWidth="1"/>
    <col min="4621" max="4621" width="8.140625" style="61" customWidth="1"/>
    <col min="4622" max="4622" width="15.42578125" style="61" customWidth="1"/>
    <col min="4623" max="4625" width="11.7109375" style="61" customWidth="1"/>
    <col min="4626" max="4626" width="6.28515625" style="61" customWidth="1"/>
    <col min="4627" max="4627" width="15" style="61" customWidth="1"/>
    <col min="4628" max="4628" width="24.85546875" style="61" customWidth="1"/>
    <col min="4629" max="4629" width="18.85546875" style="61" customWidth="1"/>
    <col min="4630" max="4864" width="9.140625" style="61"/>
    <col min="4865" max="4865" width="4.7109375" style="61" customWidth="1"/>
    <col min="4866" max="4866" width="3.5703125" style="61" customWidth="1"/>
    <col min="4867" max="4867" width="6.7109375" style="61" customWidth="1"/>
    <col min="4868" max="4868" width="4.85546875" style="61" customWidth="1"/>
    <col min="4869" max="4869" width="5" style="61" customWidth="1"/>
    <col min="4870" max="4870" width="4.7109375" style="61" customWidth="1"/>
    <col min="4871" max="4871" width="9" style="61" customWidth="1"/>
    <col min="4872" max="4872" width="15.140625" style="61" customWidth="1"/>
    <col min="4873" max="4873" width="55.42578125" style="61" customWidth="1"/>
    <col min="4874" max="4874" width="5" style="61" customWidth="1"/>
    <col min="4875" max="4875" width="11.7109375" style="61" customWidth="1"/>
    <col min="4876" max="4876" width="13.5703125" style="61" customWidth="1"/>
    <col min="4877" max="4877" width="8.140625" style="61" customWidth="1"/>
    <col min="4878" max="4878" width="15.42578125" style="61" customWidth="1"/>
    <col min="4879" max="4881" width="11.7109375" style="61" customWidth="1"/>
    <col min="4882" max="4882" width="6.28515625" style="61" customWidth="1"/>
    <col min="4883" max="4883" width="15" style="61" customWidth="1"/>
    <col min="4884" max="4884" width="24.85546875" style="61" customWidth="1"/>
    <col min="4885" max="4885" width="18.85546875" style="61" customWidth="1"/>
    <col min="4886" max="5120" width="9.140625" style="61"/>
    <col min="5121" max="5121" width="4.7109375" style="61" customWidth="1"/>
    <col min="5122" max="5122" width="3.5703125" style="61" customWidth="1"/>
    <col min="5123" max="5123" width="6.7109375" style="61" customWidth="1"/>
    <col min="5124" max="5124" width="4.85546875" style="61" customWidth="1"/>
    <col min="5125" max="5125" width="5" style="61" customWidth="1"/>
    <col min="5126" max="5126" width="4.7109375" style="61" customWidth="1"/>
    <col min="5127" max="5127" width="9" style="61" customWidth="1"/>
    <col min="5128" max="5128" width="15.140625" style="61" customWidth="1"/>
    <col min="5129" max="5129" width="55.42578125" style="61" customWidth="1"/>
    <col min="5130" max="5130" width="5" style="61" customWidth="1"/>
    <col min="5131" max="5131" width="11.7109375" style="61" customWidth="1"/>
    <col min="5132" max="5132" width="13.5703125" style="61" customWidth="1"/>
    <col min="5133" max="5133" width="8.140625" style="61" customWidth="1"/>
    <col min="5134" max="5134" width="15.42578125" style="61" customWidth="1"/>
    <col min="5135" max="5137" width="11.7109375" style="61" customWidth="1"/>
    <col min="5138" max="5138" width="6.28515625" style="61" customWidth="1"/>
    <col min="5139" max="5139" width="15" style="61" customWidth="1"/>
    <col min="5140" max="5140" width="24.85546875" style="61" customWidth="1"/>
    <col min="5141" max="5141" width="18.85546875" style="61" customWidth="1"/>
    <col min="5142" max="5376" width="9.140625" style="61"/>
    <col min="5377" max="5377" width="4.7109375" style="61" customWidth="1"/>
    <col min="5378" max="5378" width="3.5703125" style="61" customWidth="1"/>
    <col min="5379" max="5379" width="6.7109375" style="61" customWidth="1"/>
    <col min="5380" max="5380" width="4.85546875" style="61" customWidth="1"/>
    <col min="5381" max="5381" width="5" style="61" customWidth="1"/>
    <col min="5382" max="5382" width="4.7109375" style="61" customWidth="1"/>
    <col min="5383" max="5383" width="9" style="61" customWidth="1"/>
    <col min="5384" max="5384" width="15.140625" style="61" customWidth="1"/>
    <col min="5385" max="5385" width="55.42578125" style="61" customWidth="1"/>
    <col min="5386" max="5386" width="5" style="61" customWidth="1"/>
    <col min="5387" max="5387" width="11.7109375" style="61" customWidth="1"/>
    <col min="5388" max="5388" width="13.5703125" style="61" customWidth="1"/>
    <col min="5389" max="5389" width="8.140625" style="61" customWidth="1"/>
    <col min="5390" max="5390" width="15.42578125" style="61" customWidth="1"/>
    <col min="5391" max="5393" width="11.7109375" style="61" customWidth="1"/>
    <col min="5394" max="5394" width="6.28515625" style="61" customWidth="1"/>
    <col min="5395" max="5395" width="15" style="61" customWidth="1"/>
    <col min="5396" max="5396" width="24.85546875" style="61" customWidth="1"/>
    <col min="5397" max="5397" width="18.85546875" style="61" customWidth="1"/>
    <col min="5398" max="5632" width="9.140625" style="61"/>
    <col min="5633" max="5633" width="4.7109375" style="61" customWidth="1"/>
    <col min="5634" max="5634" width="3.5703125" style="61" customWidth="1"/>
    <col min="5635" max="5635" width="6.7109375" style="61" customWidth="1"/>
    <col min="5636" max="5636" width="4.85546875" style="61" customWidth="1"/>
    <col min="5637" max="5637" width="5" style="61" customWidth="1"/>
    <col min="5638" max="5638" width="4.7109375" style="61" customWidth="1"/>
    <col min="5639" max="5639" width="9" style="61" customWidth="1"/>
    <col min="5640" max="5640" width="15.140625" style="61" customWidth="1"/>
    <col min="5641" max="5641" width="55.42578125" style="61" customWidth="1"/>
    <col min="5642" max="5642" width="5" style="61" customWidth="1"/>
    <col min="5643" max="5643" width="11.7109375" style="61" customWidth="1"/>
    <col min="5644" max="5644" width="13.5703125" style="61" customWidth="1"/>
    <col min="5645" max="5645" width="8.140625" style="61" customWidth="1"/>
    <col min="5646" max="5646" width="15.42578125" style="61" customWidth="1"/>
    <col min="5647" max="5649" width="11.7109375" style="61" customWidth="1"/>
    <col min="5650" max="5650" width="6.28515625" style="61" customWidth="1"/>
    <col min="5651" max="5651" width="15" style="61" customWidth="1"/>
    <col min="5652" max="5652" width="24.85546875" style="61" customWidth="1"/>
    <col min="5653" max="5653" width="18.85546875" style="61" customWidth="1"/>
    <col min="5654" max="5888" width="9.140625" style="61"/>
    <col min="5889" max="5889" width="4.7109375" style="61" customWidth="1"/>
    <col min="5890" max="5890" width="3.5703125" style="61" customWidth="1"/>
    <col min="5891" max="5891" width="6.7109375" style="61" customWidth="1"/>
    <col min="5892" max="5892" width="4.85546875" style="61" customWidth="1"/>
    <col min="5893" max="5893" width="5" style="61" customWidth="1"/>
    <col min="5894" max="5894" width="4.7109375" style="61" customWidth="1"/>
    <col min="5895" max="5895" width="9" style="61" customWidth="1"/>
    <col min="5896" max="5896" width="15.140625" style="61" customWidth="1"/>
    <col min="5897" max="5897" width="55.42578125" style="61" customWidth="1"/>
    <col min="5898" max="5898" width="5" style="61" customWidth="1"/>
    <col min="5899" max="5899" width="11.7109375" style="61" customWidth="1"/>
    <col min="5900" max="5900" width="13.5703125" style="61" customWidth="1"/>
    <col min="5901" max="5901" width="8.140625" style="61" customWidth="1"/>
    <col min="5902" max="5902" width="15.42578125" style="61" customWidth="1"/>
    <col min="5903" max="5905" width="11.7109375" style="61" customWidth="1"/>
    <col min="5906" max="5906" width="6.28515625" style="61" customWidth="1"/>
    <col min="5907" max="5907" width="15" style="61" customWidth="1"/>
    <col min="5908" max="5908" width="24.85546875" style="61" customWidth="1"/>
    <col min="5909" max="5909" width="18.85546875" style="61" customWidth="1"/>
    <col min="5910" max="6144" width="9.140625" style="61"/>
    <col min="6145" max="6145" width="4.7109375" style="61" customWidth="1"/>
    <col min="6146" max="6146" width="3.5703125" style="61" customWidth="1"/>
    <col min="6147" max="6147" width="6.7109375" style="61" customWidth="1"/>
    <col min="6148" max="6148" width="4.85546875" style="61" customWidth="1"/>
    <col min="6149" max="6149" width="5" style="61" customWidth="1"/>
    <col min="6150" max="6150" width="4.7109375" style="61" customWidth="1"/>
    <col min="6151" max="6151" width="9" style="61" customWidth="1"/>
    <col min="6152" max="6152" width="15.140625" style="61" customWidth="1"/>
    <col min="6153" max="6153" width="55.42578125" style="61" customWidth="1"/>
    <col min="6154" max="6154" width="5" style="61" customWidth="1"/>
    <col min="6155" max="6155" width="11.7109375" style="61" customWidth="1"/>
    <col min="6156" max="6156" width="13.5703125" style="61" customWidth="1"/>
    <col min="6157" max="6157" width="8.140625" style="61" customWidth="1"/>
    <col min="6158" max="6158" width="15.42578125" style="61" customWidth="1"/>
    <col min="6159" max="6161" width="11.7109375" style="61" customWidth="1"/>
    <col min="6162" max="6162" width="6.28515625" style="61" customWidth="1"/>
    <col min="6163" max="6163" width="15" style="61" customWidth="1"/>
    <col min="6164" max="6164" width="24.85546875" style="61" customWidth="1"/>
    <col min="6165" max="6165" width="18.85546875" style="61" customWidth="1"/>
    <col min="6166" max="6400" width="9.140625" style="61"/>
    <col min="6401" max="6401" width="4.7109375" style="61" customWidth="1"/>
    <col min="6402" max="6402" width="3.5703125" style="61" customWidth="1"/>
    <col min="6403" max="6403" width="6.7109375" style="61" customWidth="1"/>
    <col min="6404" max="6404" width="4.85546875" style="61" customWidth="1"/>
    <col min="6405" max="6405" width="5" style="61" customWidth="1"/>
    <col min="6406" max="6406" width="4.7109375" style="61" customWidth="1"/>
    <col min="6407" max="6407" width="9" style="61" customWidth="1"/>
    <col min="6408" max="6408" width="15.140625" style="61" customWidth="1"/>
    <col min="6409" max="6409" width="55.42578125" style="61" customWidth="1"/>
    <col min="6410" max="6410" width="5" style="61" customWidth="1"/>
    <col min="6411" max="6411" width="11.7109375" style="61" customWidth="1"/>
    <col min="6412" max="6412" width="13.5703125" style="61" customWidth="1"/>
    <col min="6413" max="6413" width="8.140625" style="61" customWidth="1"/>
    <col min="6414" max="6414" width="15.42578125" style="61" customWidth="1"/>
    <col min="6415" max="6417" width="11.7109375" style="61" customWidth="1"/>
    <col min="6418" max="6418" width="6.28515625" style="61" customWidth="1"/>
    <col min="6419" max="6419" width="15" style="61" customWidth="1"/>
    <col min="6420" max="6420" width="24.85546875" style="61" customWidth="1"/>
    <col min="6421" max="6421" width="18.85546875" style="61" customWidth="1"/>
    <col min="6422" max="6656" width="9.140625" style="61"/>
    <col min="6657" max="6657" width="4.7109375" style="61" customWidth="1"/>
    <col min="6658" max="6658" width="3.5703125" style="61" customWidth="1"/>
    <col min="6659" max="6659" width="6.7109375" style="61" customWidth="1"/>
    <col min="6660" max="6660" width="4.85546875" style="61" customWidth="1"/>
    <col min="6661" max="6661" width="5" style="61" customWidth="1"/>
    <col min="6662" max="6662" width="4.7109375" style="61" customWidth="1"/>
    <col min="6663" max="6663" width="9" style="61" customWidth="1"/>
    <col min="6664" max="6664" width="15.140625" style="61" customWidth="1"/>
    <col min="6665" max="6665" width="55.42578125" style="61" customWidth="1"/>
    <col min="6666" max="6666" width="5" style="61" customWidth="1"/>
    <col min="6667" max="6667" width="11.7109375" style="61" customWidth="1"/>
    <col min="6668" max="6668" width="13.5703125" style="61" customWidth="1"/>
    <col min="6669" max="6669" width="8.140625" style="61" customWidth="1"/>
    <col min="6670" max="6670" width="15.42578125" style="61" customWidth="1"/>
    <col min="6671" max="6673" width="11.7109375" style="61" customWidth="1"/>
    <col min="6674" max="6674" width="6.28515625" style="61" customWidth="1"/>
    <col min="6675" max="6675" width="15" style="61" customWidth="1"/>
    <col min="6676" max="6676" width="24.85546875" style="61" customWidth="1"/>
    <col min="6677" max="6677" width="18.85546875" style="61" customWidth="1"/>
    <col min="6678" max="6912" width="9.140625" style="61"/>
    <col min="6913" max="6913" width="4.7109375" style="61" customWidth="1"/>
    <col min="6914" max="6914" width="3.5703125" style="61" customWidth="1"/>
    <col min="6915" max="6915" width="6.7109375" style="61" customWidth="1"/>
    <col min="6916" max="6916" width="4.85546875" style="61" customWidth="1"/>
    <col min="6917" max="6917" width="5" style="61" customWidth="1"/>
    <col min="6918" max="6918" width="4.7109375" style="61" customWidth="1"/>
    <col min="6919" max="6919" width="9" style="61" customWidth="1"/>
    <col min="6920" max="6920" width="15.140625" style="61" customWidth="1"/>
    <col min="6921" max="6921" width="55.42578125" style="61" customWidth="1"/>
    <col min="6922" max="6922" width="5" style="61" customWidth="1"/>
    <col min="6923" max="6923" width="11.7109375" style="61" customWidth="1"/>
    <col min="6924" max="6924" width="13.5703125" style="61" customWidth="1"/>
    <col min="6925" max="6925" width="8.140625" style="61" customWidth="1"/>
    <col min="6926" max="6926" width="15.42578125" style="61" customWidth="1"/>
    <col min="6927" max="6929" width="11.7109375" style="61" customWidth="1"/>
    <col min="6930" max="6930" width="6.28515625" style="61" customWidth="1"/>
    <col min="6931" max="6931" width="15" style="61" customWidth="1"/>
    <col min="6932" max="6932" width="24.85546875" style="61" customWidth="1"/>
    <col min="6933" max="6933" width="18.85546875" style="61" customWidth="1"/>
    <col min="6934" max="7168" width="9.140625" style="61"/>
    <col min="7169" max="7169" width="4.7109375" style="61" customWidth="1"/>
    <col min="7170" max="7170" width="3.5703125" style="61" customWidth="1"/>
    <col min="7171" max="7171" width="6.7109375" style="61" customWidth="1"/>
    <col min="7172" max="7172" width="4.85546875" style="61" customWidth="1"/>
    <col min="7173" max="7173" width="5" style="61" customWidth="1"/>
    <col min="7174" max="7174" width="4.7109375" style="61" customWidth="1"/>
    <col min="7175" max="7175" width="9" style="61" customWidth="1"/>
    <col min="7176" max="7176" width="15.140625" style="61" customWidth="1"/>
    <col min="7177" max="7177" width="55.42578125" style="61" customWidth="1"/>
    <col min="7178" max="7178" width="5" style="61" customWidth="1"/>
    <col min="7179" max="7179" width="11.7109375" style="61" customWidth="1"/>
    <col min="7180" max="7180" width="13.5703125" style="61" customWidth="1"/>
    <col min="7181" max="7181" width="8.140625" style="61" customWidth="1"/>
    <col min="7182" max="7182" width="15.42578125" style="61" customWidth="1"/>
    <col min="7183" max="7185" width="11.7109375" style="61" customWidth="1"/>
    <col min="7186" max="7186" width="6.28515625" style="61" customWidth="1"/>
    <col min="7187" max="7187" width="15" style="61" customWidth="1"/>
    <col min="7188" max="7188" width="24.85546875" style="61" customWidth="1"/>
    <col min="7189" max="7189" width="18.85546875" style="61" customWidth="1"/>
    <col min="7190" max="7424" width="9.140625" style="61"/>
    <col min="7425" max="7425" width="4.7109375" style="61" customWidth="1"/>
    <col min="7426" max="7426" width="3.5703125" style="61" customWidth="1"/>
    <col min="7427" max="7427" width="6.7109375" style="61" customWidth="1"/>
    <col min="7428" max="7428" width="4.85546875" style="61" customWidth="1"/>
    <col min="7429" max="7429" width="5" style="61" customWidth="1"/>
    <col min="7430" max="7430" width="4.7109375" style="61" customWidth="1"/>
    <col min="7431" max="7431" width="9" style="61" customWidth="1"/>
    <col min="7432" max="7432" width="15.140625" style="61" customWidth="1"/>
    <col min="7433" max="7433" width="55.42578125" style="61" customWidth="1"/>
    <col min="7434" max="7434" width="5" style="61" customWidth="1"/>
    <col min="7435" max="7435" width="11.7109375" style="61" customWidth="1"/>
    <col min="7436" max="7436" width="13.5703125" style="61" customWidth="1"/>
    <col min="7437" max="7437" width="8.140625" style="61" customWidth="1"/>
    <col min="7438" max="7438" width="15.42578125" style="61" customWidth="1"/>
    <col min="7439" max="7441" width="11.7109375" style="61" customWidth="1"/>
    <col min="7442" max="7442" width="6.28515625" style="61" customWidth="1"/>
    <col min="7443" max="7443" width="15" style="61" customWidth="1"/>
    <col min="7444" max="7444" width="24.85546875" style="61" customWidth="1"/>
    <col min="7445" max="7445" width="18.85546875" style="61" customWidth="1"/>
    <col min="7446" max="7680" width="9.140625" style="61"/>
    <col min="7681" max="7681" width="4.7109375" style="61" customWidth="1"/>
    <col min="7682" max="7682" width="3.5703125" style="61" customWidth="1"/>
    <col min="7683" max="7683" width="6.7109375" style="61" customWidth="1"/>
    <col min="7684" max="7684" width="4.85546875" style="61" customWidth="1"/>
    <col min="7685" max="7685" width="5" style="61" customWidth="1"/>
    <col min="7686" max="7686" width="4.7109375" style="61" customWidth="1"/>
    <col min="7687" max="7687" width="9" style="61" customWidth="1"/>
    <col min="7688" max="7688" width="15.140625" style="61" customWidth="1"/>
    <col min="7689" max="7689" width="55.42578125" style="61" customWidth="1"/>
    <col min="7690" max="7690" width="5" style="61" customWidth="1"/>
    <col min="7691" max="7691" width="11.7109375" style="61" customWidth="1"/>
    <col min="7692" max="7692" width="13.5703125" style="61" customWidth="1"/>
    <col min="7693" max="7693" width="8.140625" style="61" customWidth="1"/>
    <col min="7694" max="7694" width="15.42578125" style="61" customWidth="1"/>
    <col min="7695" max="7697" width="11.7109375" style="61" customWidth="1"/>
    <col min="7698" max="7698" width="6.28515625" style="61" customWidth="1"/>
    <col min="7699" max="7699" width="15" style="61" customWidth="1"/>
    <col min="7700" max="7700" width="24.85546875" style="61" customWidth="1"/>
    <col min="7701" max="7701" width="18.85546875" style="61" customWidth="1"/>
    <col min="7702" max="7936" width="9.140625" style="61"/>
    <col min="7937" max="7937" width="4.7109375" style="61" customWidth="1"/>
    <col min="7938" max="7938" width="3.5703125" style="61" customWidth="1"/>
    <col min="7939" max="7939" width="6.7109375" style="61" customWidth="1"/>
    <col min="7940" max="7940" width="4.85546875" style="61" customWidth="1"/>
    <col min="7941" max="7941" width="5" style="61" customWidth="1"/>
    <col min="7942" max="7942" width="4.7109375" style="61" customWidth="1"/>
    <col min="7943" max="7943" width="9" style="61" customWidth="1"/>
    <col min="7944" max="7944" width="15.140625" style="61" customWidth="1"/>
    <col min="7945" max="7945" width="55.42578125" style="61" customWidth="1"/>
    <col min="7946" max="7946" width="5" style="61" customWidth="1"/>
    <col min="7947" max="7947" width="11.7109375" style="61" customWidth="1"/>
    <col min="7948" max="7948" width="13.5703125" style="61" customWidth="1"/>
    <col min="7949" max="7949" width="8.140625" style="61" customWidth="1"/>
    <col min="7950" max="7950" width="15.42578125" style="61" customWidth="1"/>
    <col min="7951" max="7953" width="11.7109375" style="61" customWidth="1"/>
    <col min="7954" max="7954" width="6.28515625" style="61" customWidth="1"/>
    <col min="7955" max="7955" width="15" style="61" customWidth="1"/>
    <col min="7956" max="7956" width="24.85546875" style="61" customWidth="1"/>
    <col min="7957" max="7957" width="18.85546875" style="61" customWidth="1"/>
    <col min="7958" max="8192" width="9.140625" style="61"/>
    <col min="8193" max="8193" width="4.7109375" style="61" customWidth="1"/>
    <col min="8194" max="8194" width="3.5703125" style="61" customWidth="1"/>
    <col min="8195" max="8195" width="6.7109375" style="61" customWidth="1"/>
    <col min="8196" max="8196" width="4.85546875" style="61" customWidth="1"/>
    <col min="8197" max="8197" width="5" style="61" customWidth="1"/>
    <col min="8198" max="8198" width="4.7109375" style="61" customWidth="1"/>
    <col min="8199" max="8199" width="9" style="61" customWidth="1"/>
    <col min="8200" max="8200" width="15.140625" style="61" customWidth="1"/>
    <col min="8201" max="8201" width="55.42578125" style="61" customWidth="1"/>
    <col min="8202" max="8202" width="5" style="61" customWidth="1"/>
    <col min="8203" max="8203" width="11.7109375" style="61" customWidth="1"/>
    <col min="8204" max="8204" width="13.5703125" style="61" customWidth="1"/>
    <col min="8205" max="8205" width="8.140625" style="61" customWidth="1"/>
    <col min="8206" max="8206" width="15.42578125" style="61" customWidth="1"/>
    <col min="8207" max="8209" width="11.7109375" style="61" customWidth="1"/>
    <col min="8210" max="8210" width="6.28515625" style="61" customWidth="1"/>
    <col min="8211" max="8211" width="15" style="61" customWidth="1"/>
    <col min="8212" max="8212" width="24.85546875" style="61" customWidth="1"/>
    <col min="8213" max="8213" width="18.85546875" style="61" customWidth="1"/>
    <col min="8214" max="8448" width="9.140625" style="61"/>
    <col min="8449" max="8449" width="4.7109375" style="61" customWidth="1"/>
    <col min="8450" max="8450" width="3.5703125" style="61" customWidth="1"/>
    <col min="8451" max="8451" width="6.7109375" style="61" customWidth="1"/>
    <col min="8452" max="8452" width="4.85546875" style="61" customWidth="1"/>
    <col min="8453" max="8453" width="5" style="61" customWidth="1"/>
    <col min="8454" max="8454" width="4.7109375" style="61" customWidth="1"/>
    <col min="8455" max="8455" width="9" style="61" customWidth="1"/>
    <col min="8456" max="8456" width="15.140625" style="61" customWidth="1"/>
    <col min="8457" max="8457" width="55.42578125" style="61" customWidth="1"/>
    <col min="8458" max="8458" width="5" style="61" customWidth="1"/>
    <col min="8459" max="8459" width="11.7109375" style="61" customWidth="1"/>
    <col min="8460" max="8460" width="13.5703125" style="61" customWidth="1"/>
    <col min="8461" max="8461" width="8.140625" style="61" customWidth="1"/>
    <col min="8462" max="8462" width="15.42578125" style="61" customWidth="1"/>
    <col min="8463" max="8465" width="11.7109375" style="61" customWidth="1"/>
    <col min="8466" max="8466" width="6.28515625" style="61" customWidth="1"/>
    <col min="8467" max="8467" width="15" style="61" customWidth="1"/>
    <col min="8468" max="8468" width="24.85546875" style="61" customWidth="1"/>
    <col min="8469" max="8469" width="18.85546875" style="61" customWidth="1"/>
    <col min="8470" max="8704" width="9.140625" style="61"/>
    <col min="8705" max="8705" width="4.7109375" style="61" customWidth="1"/>
    <col min="8706" max="8706" width="3.5703125" style="61" customWidth="1"/>
    <col min="8707" max="8707" width="6.7109375" style="61" customWidth="1"/>
    <col min="8708" max="8708" width="4.85546875" style="61" customWidth="1"/>
    <col min="8709" max="8709" width="5" style="61" customWidth="1"/>
    <col min="8710" max="8710" width="4.7109375" style="61" customWidth="1"/>
    <col min="8711" max="8711" width="9" style="61" customWidth="1"/>
    <col min="8712" max="8712" width="15.140625" style="61" customWidth="1"/>
    <col min="8713" max="8713" width="55.42578125" style="61" customWidth="1"/>
    <col min="8714" max="8714" width="5" style="61" customWidth="1"/>
    <col min="8715" max="8715" width="11.7109375" style="61" customWidth="1"/>
    <col min="8716" max="8716" width="13.5703125" style="61" customWidth="1"/>
    <col min="8717" max="8717" width="8.140625" style="61" customWidth="1"/>
    <col min="8718" max="8718" width="15.42578125" style="61" customWidth="1"/>
    <col min="8719" max="8721" width="11.7109375" style="61" customWidth="1"/>
    <col min="8722" max="8722" width="6.28515625" style="61" customWidth="1"/>
    <col min="8723" max="8723" width="15" style="61" customWidth="1"/>
    <col min="8724" max="8724" width="24.85546875" style="61" customWidth="1"/>
    <col min="8725" max="8725" width="18.85546875" style="61" customWidth="1"/>
    <col min="8726" max="8960" width="9.140625" style="61"/>
    <col min="8961" max="8961" width="4.7109375" style="61" customWidth="1"/>
    <col min="8962" max="8962" width="3.5703125" style="61" customWidth="1"/>
    <col min="8963" max="8963" width="6.7109375" style="61" customWidth="1"/>
    <col min="8964" max="8964" width="4.85546875" style="61" customWidth="1"/>
    <col min="8965" max="8965" width="5" style="61" customWidth="1"/>
    <col min="8966" max="8966" width="4.7109375" style="61" customWidth="1"/>
    <col min="8967" max="8967" width="9" style="61" customWidth="1"/>
    <col min="8968" max="8968" width="15.140625" style="61" customWidth="1"/>
    <col min="8969" max="8969" width="55.42578125" style="61" customWidth="1"/>
    <col min="8970" max="8970" width="5" style="61" customWidth="1"/>
    <col min="8971" max="8971" width="11.7109375" style="61" customWidth="1"/>
    <col min="8972" max="8972" width="13.5703125" style="61" customWidth="1"/>
    <col min="8973" max="8973" width="8.140625" style="61" customWidth="1"/>
    <col min="8974" max="8974" width="15.42578125" style="61" customWidth="1"/>
    <col min="8975" max="8977" width="11.7109375" style="61" customWidth="1"/>
    <col min="8978" max="8978" width="6.28515625" style="61" customWidth="1"/>
    <col min="8979" max="8979" width="15" style="61" customWidth="1"/>
    <col min="8980" max="8980" width="24.85546875" style="61" customWidth="1"/>
    <col min="8981" max="8981" width="18.85546875" style="61" customWidth="1"/>
    <col min="8982" max="9216" width="9.140625" style="61"/>
    <col min="9217" max="9217" width="4.7109375" style="61" customWidth="1"/>
    <col min="9218" max="9218" width="3.5703125" style="61" customWidth="1"/>
    <col min="9219" max="9219" width="6.7109375" style="61" customWidth="1"/>
    <col min="9220" max="9220" width="4.85546875" style="61" customWidth="1"/>
    <col min="9221" max="9221" width="5" style="61" customWidth="1"/>
    <col min="9222" max="9222" width="4.7109375" style="61" customWidth="1"/>
    <col min="9223" max="9223" width="9" style="61" customWidth="1"/>
    <col min="9224" max="9224" width="15.140625" style="61" customWidth="1"/>
    <col min="9225" max="9225" width="55.42578125" style="61" customWidth="1"/>
    <col min="9226" max="9226" width="5" style="61" customWidth="1"/>
    <col min="9227" max="9227" width="11.7109375" style="61" customWidth="1"/>
    <col min="9228" max="9228" width="13.5703125" style="61" customWidth="1"/>
    <col min="9229" max="9229" width="8.140625" style="61" customWidth="1"/>
    <col min="9230" max="9230" width="15.42578125" style="61" customWidth="1"/>
    <col min="9231" max="9233" width="11.7109375" style="61" customWidth="1"/>
    <col min="9234" max="9234" width="6.28515625" style="61" customWidth="1"/>
    <col min="9235" max="9235" width="15" style="61" customWidth="1"/>
    <col min="9236" max="9236" width="24.85546875" style="61" customWidth="1"/>
    <col min="9237" max="9237" width="18.85546875" style="61" customWidth="1"/>
    <col min="9238" max="9472" width="9.140625" style="61"/>
    <col min="9473" max="9473" width="4.7109375" style="61" customWidth="1"/>
    <col min="9474" max="9474" width="3.5703125" style="61" customWidth="1"/>
    <col min="9475" max="9475" width="6.7109375" style="61" customWidth="1"/>
    <col min="9476" max="9476" width="4.85546875" style="61" customWidth="1"/>
    <col min="9477" max="9477" width="5" style="61" customWidth="1"/>
    <col min="9478" max="9478" width="4.7109375" style="61" customWidth="1"/>
    <col min="9479" max="9479" width="9" style="61" customWidth="1"/>
    <col min="9480" max="9480" width="15.140625" style="61" customWidth="1"/>
    <col min="9481" max="9481" width="55.42578125" style="61" customWidth="1"/>
    <col min="9482" max="9482" width="5" style="61" customWidth="1"/>
    <col min="9483" max="9483" width="11.7109375" style="61" customWidth="1"/>
    <col min="9484" max="9484" width="13.5703125" style="61" customWidth="1"/>
    <col min="9485" max="9485" width="8.140625" style="61" customWidth="1"/>
    <col min="9486" max="9486" width="15.42578125" style="61" customWidth="1"/>
    <col min="9487" max="9489" width="11.7109375" style="61" customWidth="1"/>
    <col min="9490" max="9490" width="6.28515625" style="61" customWidth="1"/>
    <col min="9491" max="9491" width="15" style="61" customWidth="1"/>
    <col min="9492" max="9492" width="24.85546875" style="61" customWidth="1"/>
    <col min="9493" max="9493" width="18.85546875" style="61" customWidth="1"/>
    <col min="9494" max="9728" width="9.140625" style="61"/>
    <col min="9729" max="9729" width="4.7109375" style="61" customWidth="1"/>
    <col min="9730" max="9730" width="3.5703125" style="61" customWidth="1"/>
    <col min="9731" max="9731" width="6.7109375" style="61" customWidth="1"/>
    <col min="9732" max="9732" width="4.85546875" style="61" customWidth="1"/>
    <col min="9733" max="9733" width="5" style="61" customWidth="1"/>
    <col min="9734" max="9734" width="4.7109375" style="61" customWidth="1"/>
    <col min="9735" max="9735" width="9" style="61" customWidth="1"/>
    <col min="9736" max="9736" width="15.140625" style="61" customWidth="1"/>
    <col min="9737" max="9737" width="55.42578125" style="61" customWidth="1"/>
    <col min="9738" max="9738" width="5" style="61" customWidth="1"/>
    <col min="9739" max="9739" width="11.7109375" style="61" customWidth="1"/>
    <col min="9740" max="9740" width="13.5703125" style="61" customWidth="1"/>
    <col min="9741" max="9741" width="8.140625" style="61" customWidth="1"/>
    <col min="9742" max="9742" width="15.42578125" style="61" customWidth="1"/>
    <col min="9743" max="9745" width="11.7109375" style="61" customWidth="1"/>
    <col min="9746" max="9746" width="6.28515625" style="61" customWidth="1"/>
    <col min="9747" max="9747" width="15" style="61" customWidth="1"/>
    <col min="9748" max="9748" width="24.85546875" style="61" customWidth="1"/>
    <col min="9749" max="9749" width="18.85546875" style="61" customWidth="1"/>
    <col min="9750" max="9984" width="9.140625" style="61"/>
    <col min="9985" max="9985" width="4.7109375" style="61" customWidth="1"/>
    <col min="9986" max="9986" width="3.5703125" style="61" customWidth="1"/>
    <col min="9987" max="9987" width="6.7109375" style="61" customWidth="1"/>
    <col min="9988" max="9988" width="4.85546875" style="61" customWidth="1"/>
    <col min="9989" max="9989" width="5" style="61" customWidth="1"/>
    <col min="9990" max="9990" width="4.7109375" style="61" customWidth="1"/>
    <col min="9991" max="9991" width="9" style="61" customWidth="1"/>
    <col min="9992" max="9992" width="15.140625" style="61" customWidth="1"/>
    <col min="9993" max="9993" width="55.42578125" style="61" customWidth="1"/>
    <col min="9994" max="9994" width="5" style="61" customWidth="1"/>
    <col min="9995" max="9995" width="11.7109375" style="61" customWidth="1"/>
    <col min="9996" max="9996" width="13.5703125" style="61" customWidth="1"/>
    <col min="9997" max="9997" width="8.140625" style="61" customWidth="1"/>
    <col min="9998" max="9998" width="15.42578125" style="61" customWidth="1"/>
    <col min="9999" max="10001" width="11.7109375" style="61" customWidth="1"/>
    <col min="10002" max="10002" width="6.28515625" style="61" customWidth="1"/>
    <col min="10003" max="10003" width="15" style="61" customWidth="1"/>
    <col min="10004" max="10004" width="24.85546875" style="61" customWidth="1"/>
    <col min="10005" max="10005" width="18.85546875" style="61" customWidth="1"/>
    <col min="10006" max="10240" width="9.140625" style="61"/>
    <col min="10241" max="10241" width="4.7109375" style="61" customWidth="1"/>
    <col min="10242" max="10242" width="3.5703125" style="61" customWidth="1"/>
    <col min="10243" max="10243" width="6.7109375" style="61" customWidth="1"/>
    <col min="10244" max="10244" width="4.85546875" style="61" customWidth="1"/>
    <col min="10245" max="10245" width="5" style="61" customWidth="1"/>
    <col min="10246" max="10246" width="4.7109375" style="61" customWidth="1"/>
    <col min="10247" max="10247" width="9" style="61" customWidth="1"/>
    <col min="10248" max="10248" width="15.140625" style="61" customWidth="1"/>
    <col min="10249" max="10249" width="55.42578125" style="61" customWidth="1"/>
    <col min="10250" max="10250" width="5" style="61" customWidth="1"/>
    <col min="10251" max="10251" width="11.7109375" style="61" customWidth="1"/>
    <col min="10252" max="10252" width="13.5703125" style="61" customWidth="1"/>
    <col min="10253" max="10253" width="8.140625" style="61" customWidth="1"/>
    <col min="10254" max="10254" width="15.42578125" style="61" customWidth="1"/>
    <col min="10255" max="10257" width="11.7109375" style="61" customWidth="1"/>
    <col min="10258" max="10258" width="6.28515625" style="61" customWidth="1"/>
    <col min="10259" max="10259" width="15" style="61" customWidth="1"/>
    <col min="10260" max="10260" width="24.85546875" style="61" customWidth="1"/>
    <col min="10261" max="10261" width="18.85546875" style="61" customWidth="1"/>
    <col min="10262" max="10496" width="9.140625" style="61"/>
    <col min="10497" max="10497" width="4.7109375" style="61" customWidth="1"/>
    <col min="10498" max="10498" width="3.5703125" style="61" customWidth="1"/>
    <col min="10499" max="10499" width="6.7109375" style="61" customWidth="1"/>
    <col min="10500" max="10500" width="4.85546875" style="61" customWidth="1"/>
    <col min="10501" max="10501" width="5" style="61" customWidth="1"/>
    <col min="10502" max="10502" width="4.7109375" style="61" customWidth="1"/>
    <col min="10503" max="10503" width="9" style="61" customWidth="1"/>
    <col min="10504" max="10504" width="15.140625" style="61" customWidth="1"/>
    <col min="10505" max="10505" width="55.42578125" style="61" customWidth="1"/>
    <col min="10506" max="10506" width="5" style="61" customWidth="1"/>
    <col min="10507" max="10507" width="11.7109375" style="61" customWidth="1"/>
    <col min="10508" max="10508" width="13.5703125" style="61" customWidth="1"/>
    <col min="10509" max="10509" width="8.140625" style="61" customWidth="1"/>
    <col min="10510" max="10510" width="15.42578125" style="61" customWidth="1"/>
    <col min="10511" max="10513" width="11.7109375" style="61" customWidth="1"/>
    <col min="10514" max="10514" width="6.28515625" style="61" customWidth="1"/>
    <col min="10515" max="10515" width="15" style="61" customWidth="1"/>
    <col min="10516" max="10516" width="24.85546875" style="61" customWidth="1"/>
    <col min="10517" max="10517" width="18.85546875" style="61" customWidth="1"/>
    <col min="10518" max="10752" width="9.140625" style="61"/>
    <col min="10753" max="10753" width="4.7109375" style="61" customWidth="1"/>
    <col min="10754" max="10754" width="3.5703125" style="61" customWidth="1"/>
    <col min="10755" max="10755" width="6.7109375" style="61" customWidth="1"/>
    <col min="10756" max="10756" width="4.85546875" style="61" customWidth="1"/>
    <col min="10757" max="10757" width="5" style="61" customWidth="1"/>
    <col min="10758" max="10758" width="4.7109375" style="61" customWidth="1"/>
    <col min="10759" max="10759" width="9" style="61" customWidth="1"/>
    <col min="10760" max="10760" width="15.140625" style="61" customWidth="1"/>
    <col min="10761" max="10761" width="55.42578125" style="61" customWidth="1"/>
    <col min="10762" max="10762" width="5" style="61" customWidth="1"/>
    <col min="10763" max="10763" width="11.7109375" style="61" customWidth="1"/>
    <col min="10764" max="10764" width="13.5703125" style="61" customWidth="1"/>
    <col min="10765" max="10765" width="8.140625" style="61" customWidth="1"/>
    <col min="10766" max="10766" width="15.42578125" style="61" customWidth="1"/>
    <col min="10767" max="10769" width="11.7109375" style="61" customWidth="1"/>
    <col min="10770" max="10770" width="6.28515625" style="61" customWidth="1"/>
    <col min="10771" max="10771" width="15" style="61" customWidth="1"/>
    <col min="10772" max="10772" width="24.85546875" style="61" customWidth="1"/>
    <col min="10773" max="10773" width="18.85546875" style="61" customWidth="1"/>
    <col min="10774" max="11008" width="9.140625" style="61"/>
    <col min="11009" max="11009" width="4.7109375" style="61" customWidth="1"/>
    <col min="11010" max="11010" width="3.5703125" style="61" customWidth="1"/>
    <col min="11011" max="11011" width="6.7109375" style="61" customWidth="1"/>
    <col min="11012" max="11012" width="4.85546875" style="61" customWidth="1"/>
    <col min="11013" max="11013" width="5" style="61" customWidth="1"/>
    <col min="11014" max="11014" width="4.7109375" style="61" customWidth="1"/>
    <col min="11015" max="11015" width="9" style="61" customWidth="1"/>
    <col min="11016" max="11016" width="15.140625" style="61" customWidth="1"/>
    <col min="11017" max="11017" width="55.42578125" style="61" customWidth="1"/>
    <col min="11018" max="11018" width="5" style="61" customWidth="1"/>
    <col min="11019" max="11019" width="11.7109375" style="61" customWidth="1"/>
    <col min="11020" max="11020" width="13.5703125" style="61" customWidth="1"/>
    <col min="11021" max="11021" width="8.140625" style="61" customWidth="1"/>
    <col min="11022" max="11022" width="15.42578125" style="61" customWidth="1"/>
    <col min="11023" max="11025" width="11.7109375" style="61" customWidth="1"/>
    <col min="11026" max="11026" width="6.28515625" style="61" customWidth="1"/>
    <col min="11027" max="11027" width="15" style="61" customWidth="1"/>
    <col min="11028" max="11028" width="24.85546875" style="61" customWidth="1"/>
    <col min="11029" max="11029" width="18.85546875" style="61" customWidth="1"/>
    <col min="11030" max="11264" width="9.140625" style="61"/>
    <col min="11265" max="11265" width="4.7109375" style="61" customWidth="1"/>
    <col min="11266" max="11266" width="3.5703125" style="61" customWidth="1"/>
    <col min="11267" max="11267" width="6.7109375" style="61" customWidth="1"/>
    <col min="11268" max="11268" width="4.85546875" style="61" customWidth="1"/>
    <col min="11269" max="11269" width="5" style="61" customWidth="1"/>
    <col min="11270" max="11270" width="4.7109375" style="61" customWidth="1"/>
    <col min="11271" max="11271" width="9" style="61" customWidth="1"/>
    <col min="11272" max="11272" width="15.140625" style="61" customWidth="1"/>
    <col min="11273" max="11273" width="55.42578125" style="61" customWidth="1"/>
    <col min="11274" max="11274" width="5" style="61" customWidth="1"/>
    <col min="11275" max="11275" width="11.7109375" style="61" customWidth="1"/>
    <col min="11276" max="11276" width="13.5703125" style="61" customWidth="1"/>
    <col min="11277" max="11277" width="8.140625" style="61" customWidth="1"/>
    <col min="11278" max="11278" width="15.42578125" style="61" customWidth="1"/>
    <col min="11279" max="11281" width="11.7109375" style="61" customWidth="1"/>
    <col min="11282" max="11282" width="6.28515625" style="61" customWidth="1"/>
    <col min="11283" max="11283" width="15" style="61" customWidth="1"/>
    <col min="11284" max="11284" width="24.85546875" style="61" customWidth="1"/>
    <col min="11285" max="11285" width="18.85546875" style="61" customWidth="1"/>
    <col min="11286" max="11520" width="9.140625" style="61"/>
    <col min="11521" max="11521" width="4.7109375" style="61" customWidth="1"/>
    <col min="11522" max="11522" width="3.5703125" style="61" customWidth="1"/>
    <col min="11523" max="11523" width="6.7109375" style="61" customWidth="1"/>
    <col min="11524" max="11524" width="4.85546875" style="61" customWidth="1"/>
    <col min="11525" max="11525" width="5" style="61" customWidth="1"/>
    <col min="11526" max="11526" width="4.7109375" style="61" customWidth="1"/>
    <col min="11527" max="11527" width="9" style="61" customWidth="1"/>
    <col min="11528" max="11528" width="15.140625" style="61" customWidth="1"/>
    <col min="11529" max="11529" width="55.42578125" style="61" customWidth="1"/>
    <col min="11530" max="11530" width="5" style="61" customWidth="1"/>
    <col min="11531" max="11531" width="11.7109375" style="61" customWidth="1"/>
    <col min="11532" max="11532" width="13.5703125" style="61" customWidth="1"/>
    <col min="11533" max="11533" width="8.140625" style="61" customWidth="1"/>
    <col min="11534" max="11534" width="15.42578125" style="61" customWidth="1"/>
    <col min="11535" max="11537" width="11.7109375" style="61" customWidth="1"/>
    <col min="11538" max="11538" width="6.28515625" style="61" customWidth="1"/>
    <col min="11539" max="11539" width="15" style="61" customWidth="1"/>
    <col min="11540" max="11540" width="24.85546875" style="61" customWidth="1"/>
    <col min="11541" max="11541" width="18.85546875" style="61" customWidth="1"/>
    <col min="11542" max="11776" width="9.140625" style="61"/>
    <col min="11777" max="11777" width="4.7109375" style="61" customWidth="1"/>
    <col min="11778" max="11778" width="3.5703125" style="61" customWidth="1"/>
    <col min="11779" max="11779" width="6.7109375" style="61" customWidth="1"/>
    <col min="11780" max="11780" width="4.85546875" style="61" customWidth="1"/>
    <col min="11781" max="11781" width="5" style="61" customWidth="1"/>
    <col min="11782" max="11782" width="4.7109375" style="61" customWidth="1"/>
    <col min="11783" max="11783" width="9" style="61" customWidth="1"/>
    <col min="11784" max="11784" width="15.140625" style="61" customWidth="1"/>
    <col min="11785" max="11785" width="55.42578125" style="61" customWidth="1"/>
    <col min="11786" max="11786" width="5" style="61" customWidth="1"/>
    <col min="11787" max="11787" width="11.7109375" style="61" customWidth="1"/>
    <col min="11788" max="11788" width="13.5703125" style="61" customWidth="1"/>
    <col min="11789" max="11789" width="8.140625" style="61" customWidth="1"/>
    <col min="11790" max="11790" width="15.42578125" style="61" customWidth="1"/>
    <col min="11791" max="11793" width="11.7109375" style="61" customWidth="1"/>
    <col min="11794" max="11794" width="6.28515625" style="61" customWidth="1"/>
    <col min="11795" max="11795" width="15" style="61" customWidth="1"/>
    <col min="11796" max="11796" width="24.85546875" style="61" customWidth="1"/>
    <col min="11797" max="11797" width="18.85546875" style="61" customWidth="1"/>
    <col min="11798" max="12032" width="9.140625" style="61"/>
    <col min="12033" max="12033" width="4.7109375" style="61" customWidth="1"/>
    <col min="12034" max="12034" width="3.5703125" style="61" customWidth="1"/>
    <col min="12035" max="12035" width="6.7109375" style="61" customWidth="1"/>
    <col min="12036" max="12036" width="4.85546875" style="61" customWidth="1"/>
    <col min="12037" max="12037" width="5" style="61" customWidth="1"/>
    <col min="12038" max="12038" width="4.7109375" style="61" customWidth="1"/>
    <col min="12039" max="12039" width="9" style="61" customWidth="1"/>
    <col min="12040" max="12040" width="15.140625" style="61" customWidth="1"/>
    <col min="12041" max="12041" width="55.42578125" style="61" customWidth="1"/>
    <col min="12042" max="12042" width="5" style="61" customWidth="1"/>
    <col min="12043" max="12043" width="11.7109375" style="61" customWidth="1"/>
    <col min="12044" max="12044" width="13.5703125" style="61" customWidth="1"/>
    <col min="12045" max="12045" width="8.140625" style="61" customWidth="1"/>
    <col min="12046" max="12046" width="15.42578125" style="61" customWidth="1"/>
    <col min="12047" max="12049" width="11.7109375" style="61" customWidth="1"/>
    <col min="12050" max="12050" width="6.28515625" style="61" customWidth="1"/>
    <col min="12051" max="12051" width="15" style="61" customWidth="1"/>
    <col min="12052" max="12052" width="24.85546875" style="61" customWidth="1"/>
    <col min="12053" max="12053" width="18.85546875" style="61" customWidth="1"/>
    <col min="12054" max="12288" width="9.140625" style="61"/>
    <col min="12289" max="12289" width="4.7109375" style="61" customWidth="1"/>
    <col min="12290" max="12290" width="3.5703125" style="61" customWidth="1"/>
    <col min="12291" max="12291" width="6.7109375" style="61" customWidth="1"/>
    <col min="12292" max="12292" width="4.85546875" style="61" customWidth="1"/>
    <col min="12293" max="12293" width="5" style="61" customWidth="1"/>
    <col min="12294" max="12294" width="4.7109375" style="61" customWidth="1"/>
    <col min="12295" max="12295" width="9" style="61" customWidth="1"/>
    <col min="12296" max="12296" width="15.140625" style="61" customWidth="1"/>
    <col min="12297" max="12297" width="55.42578125" style="61" customWidth="1"/>
    <col min="12298" max="12298" width="5" style="61" customWidth="1"/>
    <col min="12299" max="12299" width="11.7109375" style="61" customWidth="1"/>
    <col min="12300" max="12300" width="13.5703125" style="61" customWidth="1"/>
    <col min="12301" max="12301" width="8.140625" style="61" customWidth="1"/>
    <col min="12302" max="12302" width="15.42578125" style="61" customWidth="1"/>
    <col min="12303" max="12305" width="11.7109375" style="61" customWidth="1"/>
    <col min="12306" max="12306" width="6.28515625" style="61" customWidth="1"/>
    <col min="12307" max="12307" width="15" style="61" customWidth="1"/>
    <col min="12308" max="12308" width="24.85546875" style="61" customWidth="1"/>
    <col min="12309" max="12309" width="18.85546875" style="61" customWidth="1"/>
    <col min="12310" max="12544" width="9.140625" style="61"/>
    <col min="12545" max="12545" width="4.7109375" style="61" customWidth="1"/>
    <col min="12546" max="12546" width="3.5703125" style="61" customWidth="1"/>
    <col min="12547" max="12547" width="6.7109375" style="61" customWidth="1"/>
    <col min="12548" max="12548" width="4.85546875" style="61" customWidth="1"/>
    <col min="12549" max="12549" width="5" style="61" customWidth="1"/>
    <col min="12550" max="12550" width="4.7109375" style="61" customWidth="1"/>
    <col min="12551" max="12551" width="9" style="61" customWidth="1"/>
    <col min="12552" max="12552" width="15.140625" style="61" customWidth="1"/>
    <col min="12553" max="12553" width="55.42578125" style="61" customWidth="1"/>
    <col min="12554" max="12554" width="5" style="61" customWidth="1"/>
    <col min="12555" max="12555" width="11.7109375" style="61" customWidth="1"/>
    <col min="12556" max="12556" width="13.5703125" style="61" customWidth="1"/>
    <col min="12557" max="12557" width="8.140625" style="61" customWidth="1"/>
    <col min="12558" max="12558" width="15.42578125" style="61" customWidth="1"/>
    <col min="12559" max="12561" width="11.7109375" style="61" customWidth="1"/>
    <col min="12562" max="12562" width="6.28515625" style="61" customWidth="1"/>
    <col min="12563" max="12563" width="15" style="61" customWidth="1"/>
    <col min="12564" max="12564" width="24.85546875" style="61" customWidth="1"/>
    <col min="12565" max="12565" width="18.85546875" style="61" customWidth="1"/>
    <col min="12566" max="12800" width="9.140625" style="61"/>
    <col min="12801" max="12801" width="4.7109375" style="61" customWidth="1"/>
    <col min="12802" max="12802" width="3.5703125" style="61" customWidth="1"/>
    <col min="12803" max="12803" width="6.7109375" style="61" customWidth="1"/>
    <col min="12804" max="12804" width="4.85546875" style="61" customWidth="1"/>
    <col min="12805" max="12805" width="5" style="61" customWidth="1"/>
    <col min="12806" max="12806" width="4.7109375" style="61" customWidth="1"/>
    <col min="12807" max="12807" width="9" style="61" customWidth="1"/>
    <col min="12808" max="12808" width="15.140625" style="61" customWidth="1"/>
    <col min="12809" max="12809" width="55.42578125" style="61" customWidth="1"/>
    <col min="12810" max="12810" width="5" style="61" customWidth="1"/>
    <col min="12811" max="12811" width="11.7109375" style="61" customWidth="1"/>
    <col min="12812" max="12812" width="13.5703125" style="61" customWidth="1"/>
    <col min="12813" max="12813" width="8.140625" style="61" customWidth="1"/>
    <col min="12814" max="12814" width="15.42578125" style="61" customWidth="1"/>
    <col min="12815" max="12817" width="11.7109375" style="61" customWidth="1"/>
    <col min="12818" max="12818" width="6.28515625" style="61" customWidth="1"/>
    <col min="12819" max="12819" width="15" style="61" customWidth="1"/>
    <col min="12820" max="12820" width="24.85546875" style="61" customWidth="1"/>
    <col min="12821" max="12821" width="18.85546875" style="61" customWidth="1"/>
    <col min="12822" max="13056" width="9.140625" style="61"/>
    <col min="13057" max="13057" width="4.7109375" style="61" customWidth="1"/>
    <col min="13058" max="13058" width="3.5703125" style="61" customWidth="1"/>
    <col min="13059" max="13059" width="6.7109375" style="61" customWidth="1"/>
    <col min="13060" max="13060" width="4.85546875" style="61" customWidth="1"/>
    <col min="13061" max="13061" width="5" style="61" customWidth="1"/>
    <col min="13062" max="13062" width="4.7109375" style="61" customWidth="1"/>
    <col min="13063" max="13063" width="9" style="61" customWidth="1"/>
    <col min="13064" max="13064" width="15.140625" style="61" customWidth="1"/>
    <col min="13065" max="13065" width="55.42578125" style="61" customWidth="1"/>
    <col min="13066" max="13066" width="5" style="61" customWidth="1"/>
    <col min="13067" max="13067" width="11.7109375" style="61" customWidth="1"/>
    <col min="13068" max="13068" width="13.5703125" style="61" customWidth="1"/>
    <col min="13069" max="13069" width="8.140625" style="61" customWidth="1"/>
    <col min="13070" max="13070" width="15.42578125" style="61" customWidth="1"/>
    <col min="13071" max="13073" width="11.7109375" style="61" customWidth="1"/>
    <col min="13074" max="13074" width="6.28515625" style="61" customWidth="1"/>
    <col min="13075" max="13075" width="15" style="61" customWidth="1"/>
    <col min="13076" max="13076" width="24.85546875" style="61" customWidth="1"/>
    <col min="13077" max="13077" width="18.85546875" style="61" customWidth="1"/>
    <col min="13078" max="13312" width="9.140625" style="61"/>
    <col min="13313" max="13313" width="4.7109375" style="61" customWidth="1"/>
    <col min="13314" max="13314" width="3.5703125" style="61" customWidth="1"/>
    <col min="13315" max="13315" width="6.7109375" style="61" customWidth="1"/>
    <col min="13316" max="13316" width="4.85546875" style="61" customWidth="1"/>
    <col min="13317" max="13317" width="5" style="61" customWidth="1"/>
    <col min="13318" max="13318" width="4.7109375" style="61" customWidth="1"/>
    <col min="13319" max="13319" width="9" style="61" customWidth="1"/>
    <col min="13320" max="13320" width="15.140625" style="61" customWidth="1"/>
    <col min="13321" max="13321" width="55.42578125" style="61" customWidth="1"/>
    <col min="13322" max="13322" width="5" style="61" customWidth="1"/>
    <col min="13323" max="13323" width="11.7109375" style="61" customWidth="1"/>
    <col min="13324" max="13324" width="13.5703125" style="61" customWidth="1"/>
    <col min="13325" max="13325" width="8.140625" style="61" customWidth="1"/>
    <col min="13326" max="13326" width="15.42578125" style="61" customWidth="1"/>
    <col min="13327" max="13329" width="11.7109375" style="61" customWidth="1"/>
    <col min="13330" max="13330" width="6.28515625" style="61" customWidth="1"/>
    <col min="13331" max="13331" width="15" style="61" customWidth="1"/>
    <col min="13332" max="13332" width="24.85546875" style="61" customWidth="1"/>
    <col min="13333" max="13333" width="18.85546875" style="61" customWidth="1"/>
    <col min="13334" max="13568" width="9.140625" style="61"/>
    <col min="13569" max="13569" width="4.7109375" style="61" customWidth="1"/>
    <col min="13570" max="13570" width="3.5703125" style="61" customWidth="1"/>
    <col min="13571" max="13571" width="6.7109375" style="61" customWidth="1"/>
    <col min="13572" max="13572" width="4.85546875" style="61" customWidth="1"/>
    <col min="13573" max="13573" width="5" style="61" customWidth="1"/>
    <col min="13574" max="13574" width="4.7109375" style="61" customWidth="1"/>
    <col min="13575" max="13575" width="9" style="61" customWidth="1"/>
    <col min="13576" max="13576" width="15.140625" style="61" customWidth="1"/>
    <col min="13577" max="13577" width="55.42578125" style="61" customWidth="1"/>
    <col min="13578" max="13578" width="5" style="61" customWidth="1"/>
    <col min="13579" max="13579" width="11.7109375" style="61" customWidth="1"/>
    <col min="13580" max="13580" width="13.5703125" style="61" customWidth="1"/>
    <col min="13581" max="13581" width="8.140625" style="61" customWidth="1"/>
    <col min="13582" max="13582" width="15.42578125" style="61" customWidth="1"/>
    <col min="13583" max="13585" width="11.7109375" style="61" customWidth="1"/>
    <col min="13586" max="13586" width="6.28515625" style="61" customWidth="1"/>
    <col min="13587" max="13587" width="15" style="61" customWidth="1"/>
    <col min="13588" max="13588" width="24.85546875" style="61" customWidth="1"/>
    <col min="13589" max="13589" width="18.85546875" style="61" customWidth="1"/>
    <col min="13590" max="13824" width="9.140625" style="61"/>
    <col min="13825" max="13825" width="4.7109375" style="61" customWidth="1"/>
    <col min="13826" max="13826" width="3.5703125" style="61" customWidth="1"/>
    <col min="13827" max="13827" width="6.7109375" style="61" customWidth="1"/>
    <col min="13828" max="13828" width="4.85546875" style="61" customWidth="1"/>
    <col min="13829" max="13829" width="5" style="61" customWidth="1"/>
    <col min="13830" max="13830" width="4.7109375" style="61" customWidth="1"/>
    <col min="13831" max="13831" width="9" style="61" customWidth="1"/>
    <col min="13832" max="13832" width="15.140625" style="61" customWidth="1"/>
    <col min="13833" max="13833" width="55.42578125" style="61" customWidth="1"/>
    <col min="13834" max="13834" width="5" style="61" customWidth="1"/>
    <col min="13835" max="13835" width="11.7109375" style="61" customWidth="1"/>
    <col min="13836" max="13836" width="13.5703125" style="61" customWidth="1"/>
    <col min="13837" max="13837" width="8.140625" style="61" customWidth="1"/>
    <col min="13838" max="13838" width="15.42578125" style="61" customWidth="1"/>
    <col min="13839" max="13841" width="11.7109375" style="61" customWidth="1"/>
    <col min="13842" max="13842" width="6.28515625" style="61" customWidth="1"/>
    <col min="13843" max="13843" width="15" style="61" customWidth="1"/>
    <col min="13844" max="13844" width="24.85546875" style="61" customWidth="1"/>
    <col min="13845" max="13845" width="18.85546875" style="61" customWidth="1"/>
    <col min="13846" max="14080" width="9.140625" style="61"/>
    <col min="14081" max="14081" width="4.7109375" style="61" customWidth="1"/>
    <col min="14082" max="14082" width="3.5703125" style="61" customWidth="1"/>
    <col min="14083" max="14083" width="6.7109375" style="61" customWidth="1"/>
    <col min="14084" max="14084" width="4.85546875" style="61" customWidth="1"/>
    <col min="14085" max="14085" width="5" style="61" customWidth="1"/>
    <col min="14086" max="14086" width="4.7109375" style="61" customWidth="1"/>
    <col min="14087" max="14087" width="9" style="61" customWidth="1"/>
    <col min="14088" max="14088" width="15.140625" style="61" customWidth="1"/>
    <col min="14089" max="14089" width="55.42578125" style="61" customWidth="1"/>
    <col min="14090" max="14090" width="5" style="61" customWidth="1"/>
    <col min="14091" max="14091" width="11.7109375" style="61" customWidth="1"/>
    <col min="14092" max="14092" width="13.5703125" style="61" customWidth="1"/>
    <col min="14093" max="14093" width="8.140625" style="61" customWidth="1"/>
    <col min="14094" max="14094" width="15.42578125" style="61" customWidth="1"/>
    <col min="14095" max="14097" width="11.7109375" style="61" customWidth="1"/>
    <col min="14098" max="14098" width="6.28515625" style="61" customWidth="1"/>
    <col min="14099" max="14099" width="15" style="61" customWidth="1"/>
    <col min="14100" max="14100" width="24.85546875" style="61" customWidth="1"/>
    <col min="14101" max="14101" width="18.85546875" style="61" customWidth="1"/>
    <col min="14102" max="14336" width="9.140625" style="61"/>
    <col min="14337" max="14337" width="4.7109375" style="61" customWidth="1"/>
    <col min="14338" max="14338" width="3.5703125" style="61" customWidth="1"/>
    <col min="14339" max="14339" width="6.7109375" style="61" customWidth="1"/>
    <col min="14340" max="14340" width="4.85546875" style="61" customWidth="1"/>
    <col min="14341" max="14341" width="5" style="61" customWidth="1"/>
    <col min="14342" max="14342" width="4.7109375" style="61" customWidth="1"/>
    <col min="14343" max="14343" width="9" style="61" customWidth="1"/>
    <col min="14344" max="14344" width="15.140625" style="61" customWidth="1"/>
    <col min="14345" max="14345" width="55.42578125" style="61" customWidth="1"/>
    <col min="14346" max="14346" width="5" style="61" customWidth="1"/>
    <col min="14347" max="14347" width="11.7109375" style="61" customWidth="1"/>
    <col min="14348" max="14348" width="13.5703125" style="61" customWidth="1"/>
    <col min="14349" max="14349" width="8.140625" style="61" customWidth="1"/>
    <col min="14350" max="14350" width="15.42578125" style="61" customWidth="1"/>
    <col min="14351" max="14353" width="11.7109375" style="61" customWidth="1"/>
    <col min="14354" max="14354" width="6.28515625" style="61" customWidth="1"/>
    <col min="14355" max="14355" width="15" style="61" customWidth="1"/>
    <col min="14356" max="14356" width="24.85546875" style="61" customWidth="1"/>
    <col min="14357" max="14357" width="18.85546875" style="61" customWidth="1"/>
    <col min="14358" max="14592" width="9.140625" style="61"/>
    <col min="14593" max="14593" width="4.7109375" style="61" customWidth="1"/>
    <col min="14594" max="14594" width="3.5703125" style="61" customWidth="1"/>
    <col min="14595" max="14595" width="6.7109375" style="61" customWidth="1"/>
    <col min="14596" max="14596" width="4.85546875" style="61" customWidth="1"/>
    <col min="14597" max="14597" width="5" style="61" customWidth="1"/>
    <col min="14598" max="14598" width="4.7109375" style="61" customWidth="1"/>
    <col min="14599" max="14599" width="9" style="61" customWidth="1"/>
    <col min="14600" max="14600" width="15.140625" style="61" customWidth="1"/>
    <col min="14601" max="14601" width="55.42578125" style="61" customWidth="1"/>
    <col min="14602" max="14602" width="5" style="61" customWidth="1"/>
    <col min="14603" max="14603" width="11.7109375" style="61" customWidth="1"/>
    <col min="14604" max="14604" width="13.5703125" style="61" customWidth="1"/>
    <col min="14605" max="14605" width="8.140625" style="61" customWidth="1"/>
    <col min="14606" max="14606" width="15.42578125" style="61" customWidth="1"/>
    <col min="14607" max="14609" width="11.7109375" style="61" customWidth="1"/>
    <col min="14610" max="14610" width="6.28515625" style="61" customWidth="1"/>
    <col min="14611" max="14611" width="15" style="61" customWidth="1"/>
    <col min="14612" max="14612" width="24.85546875" style="61" customWidth="1"/>
    <col min="14613" max="14613" width="18.85546875" style="61" customWidth="1"/>
    <col min="14614" max="14848" width="9.140625" style="61"/>
    <col min="14849" max="14849" width="4.7109375" style="61" customWidth="1"/>
    <col min="14850" max="14850" width="3.5703125" style="61" customWidth="1"/>
    <col min="14851" max="14851" width="6.7109375" style="61" customWidth="1"/>
    <col min="14852" max="14852" width="4.85546875" style="61" customWidth="1"/>
    <col min="14853" max="14853" width="5" style="61" customWidth="1"/>
    <col min="14854" max="14854" width="4.7109375" style="61" customWidth="1"/>
    <col min="14855" max="14855" width="9" style="61" customWidth="1"/>
    <col min="14856" max="14856" width="15.140625" style="61" customWidth="1"/>
    <col min="14857" max="14857" width="55.42578125" style="61" customWidth="1"/>
    <col min="14858" max="14858" width="5" style="61" customWidth="1"/>
    <col min="14859" max="14859" width="11.7109375" style="61" customWidth="1"/>
    <col min="14860" max="14860" width="13.5703125" style="61" customWidth="1"/>
    <col min="14861" max="14861" width="8.140625" style="61" customWidth="1"/>
    <col min="14862" max="14862" width="15.42578125" style="61" customWidth="1"/>
    <col min="14863" max="14865" width="11.7109375" style="61" customWidth="1"/>
    <col min="14866" max="14866" width="6.28515625" style="61" customWidth="1"/>
    <col min="14867" max="14867" width="15" style="61" customWidth="1"/>
    <col min="14868" max="14868" width="24.85546875" style="61" customWidth="1"/>
    <col min="14869" max="14869" width="18.85546875" style="61" customWidth="1"/>
    <col min="14870" max="15104" width="9.140625" style="61"/>
    <col min="15105" max="15105" width="4.7109375" style="61" customWidth="1"/>
    <col min="15106" max="15106" width="3.5703125" style="61" customWidth="1"/>
    <col min="15107" max="15107" width="6.7109375" style="61" customWidth="1"/>
    <col min="15108" max="15108" width="4.85546875" style="61" customWidth="1"/>
    <col min="15109" max="15109" width="5" style="61" customWidth="1"/>
    <col min="15110" max="15110" width="4.7109375" style="61" customWidth="1"/>
    <col min="15111" max="15111" width="9" style="61" customWidth="1"/>
    <col min="15112" max="15112" width="15.140625" style="61" customWidth="1"/>
    <col min="15113" max="15113" width="55.42578125" style="61" customWidth="1"/>
    <col min="15114" max="15114" width="5" style="61" customWidth="1"/>
    <col min="15115" max="15115" width="11.7109375" style="61" customWidth="1"/>
    <col min="15116" max="15116" width="13.5703125" style="61" customWidth="1"/>
    <col min="15117" max="15117" width="8.140625" style="61" customWidth="1"/>
    <col min="15118" max="15118" width="15.42578125" style="61" customWidth="1"/>
    <col min="15119" max="15121" width="11.7109375" style="61" customWidth="1"/>
    <col min="15122" max="15122" width="6.28515625" style="61" customWidth="1"/>
    <col min="15123" max="15123" width="15" style="61" customWidth="1"/>
    <col min="15124" max="15124" width="24.85546875" style="61" customWidth="1"/>
    <col min="15125" max="15125" width="18.85546875" style="61" customWidth="1"/>
    <col min="15126" max="15360" width="9.140625" style="61"/>
    <col min="15361" max="15361" width="4.7109375" style="61" customWidth="1"/>
    <col min="15362" max="15362" width="3.5703125" style="61" customWidth="1"/>
    <col min="15363" max="15363" width="6.7109375" style="61" customWidth="1"/>
    <col min="15364" max="15364" width="4.85546875" style="61" customWidth="1"/>
    <col min="15365" max="15365" width="5" style="61" customWidth="1"/>
    <col min="15366" max="15366" width="4.7109375" style="61" customWidth="1"/>
    <col min="15367" max="15367" width="9" style="61" customWidth="1"/>
    <col min="15368" max="15368" width="15.140625" style="61" customWidth="1"/>
    <col min="15369" max="15369" width="55.42578125" style="61" customWidth="1"/>
    <col min="15370" max="15370" width="5" style="61" customWidth="1"/>
    <col min="15371" max="15371" width="11.7109375" style="61" customWidth="1"/>
    <col min="15372" max="15372" width="13.5703125" style="61" customWidth="1"/>
    <col min="15373" max="15373" width="8.140625" style="61" customWidth="1"/>
    <col min="15374" max="15374" width="15.42578125" style="61" customWidth="1"/>
    <col min="15375" max="15377" width="11.7109375" style="61" customWidth="1"/>
    <col min="15378" max="15378" width="6.28515625" style="61" customWidth="1"/>
    <col min="15379" max="15379" width="15" style="61" customWidth="1"/>
    <col min="15380" max="15380" width="24.85546875" style="61" customWidth="1"/>
    <col min="15381" max="15381" width="18.85546875" style="61" customWidth="1"/>
    <col min="15382" max="15616" width="9.140625" style="61"/>
    <col min="15617" max="15617" width="4.7109375" style="61" customWidth="1"/>
    <col min="15618" max="15618" width="3.5703125" style="61" customWidth="1"/>
    <col min="15619" max="15619" width="6.7109375" style="61" customWidth="1"/>
    <col min="15620" max="15620" width="4.85546875" style="61" customWidth="1"/>
    <col min="15621" max="15621" width="5" style="61" customWidth="1"/>
    <col min="15622" max="15622" width="4.7109375" style="61" customWidth="1"/>
    <col min="15623" max="15623" width="9" style="61" customWidth="1"/>
    <col min="15624" max="15624" width="15.140625" style="61" customWidth="1"/>
    <col min="15625" max="15625" width="55.42578125" style="61" customWidth="1"/>
    <col min="15626" max="15626" width="5" style="61" customWidth="1"/>
    <col min="15627" max="15627" width="11.7109375" style="61" customWidth="1"/>
    <col min="15628" max="15628" width="13.5703125" style="61" customWidth="1"/>
    <col min="15629" max="15629" width="8.140625" style="61" customWidth="1"/>
    <col min="15630" max="15630" width="15.42578125" style="61" customWidth="1"/>
    <col min="15631" max="15633" width="11.7109375" style="61" customWidth="1"/>
    <col min="15634" max="15634" width="6.28515625" style="61" customWidth="1"/>
    <col min="15635" max="15635" width="15" style="61" customWidth="1"/>
    <col min="15636" max="15636" width="24.85546875" style="61" customWidth="1"/>
    <col min="15637" max="15637" width="18.85546875" style="61" customWidth="1"/>
    <col min="15638" max="15872" width="9.140625" style="61"/>
    <col min="15873" max="15873" width="4.7109375" style="61" customWidth="1"/>
    <col min="15874" max="15874" width="3.5703125" style="61" customWidth="1"/>
    <col min="15875" max="15875" width="6.7109375" style="61" customWidth="1"/>
    <col min="15876" max="15876" width="4.85546875" style="61" customWidth="1"/>
    <col min="15877" max="15877" width="5" style="61" customWidth="1"/>
    <col min="15878" max="15878" width="4.7109375" style="61" customWidth="1"/>
    <col min="15879" max="15879" width="9" style="61" customWidth="1"/>
    <col min="15880" max="15880" width="15.140625" style="61" customWidth="1"/>
    <col min="15881" max="15881" width="55.42578125" style="61" customWidth="1"/>
    <col min="15882" max="15882" width="5" style="61" customWidth="1"/>
    <col min="15883" max="15883" width="11.7109375" style="61" customWidth="1"/>
    <col min="15884" max="15884" width="13.5703125" style="61" customWidth="1"/>
    <col min="15885" max="15885" width="8.140625" style="61" customWidth="1"/>
    <col min="15886" max="15886" width="15.42578125" style="61" customWidth="1"/>
    <col min="15887" max="15889" width="11.7109375" style="61" customWidth="1"/>
    <col min="15890" max="15890" width="6.28515625" style="61" customWidth="1"/>
    <col min="15891" max="15891" width="15" style="61" customWidth="1"/>
    <col min="15892" max="15892" width="24.85546875" style="61" customWidth="1"/>
    <col min="15893" max="15893" width="18.85546875" style="61" customWidth="1"/>
    <col min="15894" max="16128" width="9.140625" style="61"/>
    <col min="16129" max="16129" width="4.7109375" style="61" customWidth="1"/>
    <col min="16130" max="16130" width="3.5703125" style="61" customWidth="1"/>
    <col min="16131" max="16131" width="6.7109375" style="61" customWidth="1"/>
    <col min="16132" max="16132" width="4.85546875" style="61" customWidth="1"/>
    <col min="16133" max="16133" width="5" style="61" customWidth="1"/>
    <col min="16134" max="16134" width="4.7109375" style="61" customWidth="1"/>
    <col min="16135" max="16135" width="9" style="61" customWidth="1"/>
    <col min="16136" max="16136" width="15.140625" style="61" customWidth="1"/>
    <col min="16137" max="16137" width="55.42578125" style="61" customWidth="1"/>
    <col min="16138" max="16138" width="5" style="61" customWidth="1"/>
    <col min="16139" max="16139" width="11.7109375" style="61" customWidth="1"/>
    <col min="16140" max="16140" width="13.5703125" style="61" customWidth="1"/>
    <col min="16141" max="16141" width="8.140625" style="61" customWidth="1"/>
    <col min="16142" max="16142" width="15.42578125" style="61" customWidth="1"/>
    <col min="16143" max="16145" width="11.7109375" style="61" customWidth="1"/>
    <col min="16146" max="16146" width="6.28515625" style="61" customWidth="1"/>
    <col min="16147" max="16147" width="15" style="61" customWidth="1"/>
    <col min="16148" max="16148" width="24.85546875" style="61" customWidth="1"/>
    <col min="16149" max="16149" width="18.85546875" style="61" customWidth="1"/>
    <col min="16150" max="16384" width="9.140625" style="61"/>
  </cols>
  <sheetData>
    <row r="1" spans="1:21" ht="31.5" customHeight="1">
      <c r="A1" s="60" t="s">
        <v>529</v>
      </c>
      <c r="B1" s="60" t="s">
        <v>530</v>
      </c>
      <c r="C1" s="60" t="s">
        <v>531</v>
      </c>
      <c r="D1" s="60" t="s">
        <v>532</v>
      </c>
      <c r="E1" s="60" t="s">
        <v>533</v>
      </c>
      <c r="F1" s="60" t="s">
        <v>534</v>
      </c>
      <c r="G1" s="60" t="s">
        <v>535</v>
      </c>
      <c r="H1" s="60" t="s">
        <v>536</v>
      </c>
      <c r="I1" s="60" t="s">
        <v>502</v>
      </c>
      <c r="J1" s="60" t="s">
        <v>18</v>
      </c>
      <c r="K1" s="60" t="s">
        <v>537</v>
      </c>
      <c r="L1" s="60" t="s">
        <v>538</v>
      </c>
      <c r="M1" s="60" t="s">
        <v>539</v>
      </c>
      <c r="N1" s="60" t="s">
        <v>540</v>
      </c>
      <c r="O1" s="60" t="s">
        <v>541</v>
      </c>
      <c r="P1" s="60" t="s">
        <v>542</v>
      </c>
      <c r="Q1" s="60" t="s">
        <v>543</v>
      </c>
      <c r="R1" s="60" t="s">
        <v>544</v>
      </c>
      <c r="S1" s="60" t="s">
        <v>545</v>
      </c>
      <c r="T1" s="60" t="s">
        <v>546</v>
      </c>
      <c r="U1" s="60" t="s">
        <v>547</v>
      </c>
    </row>
    <row r="2" spans="1:21" ht="17.25" customHeight="1">
      <c r="A2" s="62" t="s">
        <v>548</v>
      </c>
      <c r="B2" s="63"/>
      <c r="C2" s="64">
        <v>1</v>
      </c>
      <c r="D2" s="65"/>
      <c r="E2" s="66">
        <v>0</v>
      </c>
      <c r="F2" s="65" t="s">
        <v>549</v>
      </c>
      <c r="G2" s="63"/>
      <c r="H2" s="63" t="s">
        <v>64</v>
      </c>
      <c r="I2" s="67" t="s">
        <v>550</v>
      </c>
      <c r="J2" s="68"/>
      <c r="K2" s="69"/>
      <c r="L2" s="70"/>
      <c r="M2" s="71"/>
      <c r="N2" s="72">
        <f>N3+N22</f>
        <v>0</v>
      </c>
      <c r="O2" s="71">
        <v>7.8790250000000013</v>
      </c>
      <c r="P2" s="71">
        <v>0</v>
      </c>
      <c r="Q2" s="71">
        <v>158.61756000000003</v>
      </c>
      <c r="R2" s="63"/>
      <c r="S2" s="63"/>
      <c r="T2" s="63"/>
      <c r="U2" s="64"/>
    </row>
    <row r="3" spans="1:21" ht="17.25" customHeight="1">
      <c r="A3" s="62" t="s">
        <v>548</v>
      </c>
      <c r="B3" s="63"/>
      <c r="C3" s="64" t="s">
        <v>551</v>
      </c>
      <c r="D3" s="65"/>
      <c r="E3" s="66">
        <v>0</v>
      </c>
      <c r="F3" s="65" t="s">
        <v>549</v>
      </c>
      <c r="G3" s="63"/>
      <c r="H3" s="63" t="s">
        <v>552</v>
      </c>
      <c r="I3" s="67" t="s">
        <v>553</v>
      </c>
      <c r="J3" s="68"/>
      <c r="K3" s="69"/>
      <c r="L3" s="70"/>
      <c r="M3" s="71"/>
      <c r="N3" s="72">
        <f>SUM(N4:N21)</f>
        <v>0</v>
      </c>
      <c r="O3" s="71">
        <v>0.161715</v>
      </c>
      <c r="P3" s="71">
        <v>0</v>
      </c>
      <c r="Q3" s="71">
        <v>46.530999999999992</v>
      </c>
      <c r="R3" s="63"/>
      <c r="S3" s="63"/>
      <c r="T3" s="63"/>
      <c r="U3" s="64"/>
    </row>
    <row r="4" spans="1:21" ht="27.75" customHeight="1">
      <c r="A4" s="73" t="s">
        <v>548</v>
      </c>
      <c r="B4" s="74"/>
      <c r="C4" s="75" t="s">
        <v>554</v>
      </c>
      <c r="D4" s="76" t="s">
        <v>555</v>
      </c>
      <c r="E4" s="77">
        <v>1</v>
      </c>
      <c r="F4" s="78" t="s">
        <v>556</v>
      </c>
      <c r="G4" s="74" t="s">
        <v>64</v>
      </c>
      <c r="H4" s="74" t="s">
        <v>557</v>
      </c>
      <c r="I4" s="79" t="s">
        <v>558</v>
      </c>
      <c r="J4" s="80" t="s">
        <v>559</v>
      </c>
      <c r="K4" s="81">
        <v>3</v>
      </c>
      <c r="L4" s="82">
        <v>0</v>
      </c>
      <c r="M4" s="81">
        <v>0.6</v>
      </c>
      <c r="N4" s="83">
        <f>K4*L4</f>
        <v>0</v>
      </c>
      <c r="O4" s="84">
        <v>0</v>
      </c>
      <c r="P4" s="84">
        <v>0</v>
      </c>
      <c r="Q4" s="84">
        <v>0.91800000000000004</v>
      </c>
      <c r="R4" s="74" t="s">
        <v>560</v>
      </c>
      <c r="S4" s="74"/>
      <c r="T4" s="74"/>
      <c r="U4" s="74"/>
    </row>
    <row r="5" spans="1:21" ht="17.25" customHeight="1">
      <c r="A5" s="73" t="s">
        <v>548</v>
      </c>
      <c r="B5" s="74"/>
      <c r="C5" s="75" t="s">
        <v>554</v>
      </c>
      <c r="D5" s="76" t="s">
        <v>555</v>
      </c>
      <c r="E5" s="77">
        <v>2</v>
      </c>
      <c r="F5" s="78" t="s">
        <v>556</v>
      </c>
      <c r="G5" s="74" t="s">
        <v>64</v>
      </c>
      <c r="H5" s="74" t="s">
        <v>561</v>
      </c>
      <c r="I5" s="79" t="s">
        <v>562</v>
      </c>
      <c r="J5" s="80" t="s">
        <v>559</v>
      </c>
      <c r="K5" s="81">
        <v>3</v>
      </c>
      <c r="L5" s="82">
        <v>0</v>
      </c>
      <c r="M5" s="81">
        <v>0.6</v>
      </c>
      <c r="N5" s="83">
        <f t="shared" ref="N5:N20" si="0">K5*L5</f>
        <v>0</v>
      </c>
      <c r="O5" s="84">
        <v>0</v>
      </c>
      <c r="P5" s="84">
        <v>0</v>
      </c>
      <c r="Q5" s="84">
        <v>1.6830000000000001</v>
      </c>
      <c r="R5" s="74" t="s">
        <v>560</v>
      </c>
      <c r="S5" s="74"/>
      <c r="T5" s="74"/>
      <c r="U5" s="74"/>
    </row>
    <row r="6" spans="1:21" ht="27.75" customHeight="1" outlineLevel="1">
      <c r="A6" s="73" t="s">
        <v>548</v>
      </c>
      <c r="B6" s="74"/>
      <c r="C6" s="75" t="s">
        <v>554</v>
      </c>
      <c r="D6" s="76" t="s">
        <v>555</v>
      </c>
      <c r="E6" s="77">
        <v>3</v>
      </c>
      <c r="F6" s="78" t="s">
        <v>556</v>
      </c>
      <c r="G6" s="74" t="s">
        <v>64</v>
      </c>
      <c r="H6" s="74"/>
      <c r="I6" s="79" t="s">
        <v>563</v>
      </c>
      <c r="J6" s="80" t="s">
        <v>559</v>
      </c>
      <c r="K6" s="81">
        <v>2</v>
      </c>
      <c r="L6" s="83">
        <v>0</v>
      </c>
      <c r="M6" s="81">
        <v>0.6</v>
      </c>
      <c r="N6" s="83">
        <f t="shared" si="0"/>
        <v>0</v>
      </c>
      <c r="O6" s="84">
        <v>0</v>
      </c>
      <c r="P6" s="84">
        <v>0</v>
      </c>
      <c r="Q6" s="84">
        <v>0.91800000000000004</v>
      </c>
      <c r="R6" s="74" t="s">
        <v>560</v>
      </c>
      <c r="S6" s="74"/>
      <c r="T6" s="74"/>
      <c r="U6" s="74"/>
    </row>
    <row r="7" spans="1:21" ht="17.25" customHeight="1" outlineLevel="1">
      <c r="A7" s="73" t="s">
        <v>548</v>
      </c>
      <c r="B7" s="74"/>
      <c r="C7" s="75" t="s">
        <v>554</v>
      </c>
      <c r="D7" s="76" t="s">
        <v>555</v>
      </c>
      <c r="E7" s="77">
        <v>4</v>
      </c>
      <c r="F7" s="78" t="s">
        <v>556</v>
      </c>
      <c r="G7" s="74" t="s">
        <v>64</v>
      </c>
      <c r="H7" s="74"/>
      <c r="I7" s="79" t="s">
        <v>564</v>
      </c>
      <c r="J7" s="80" t="s">
        <v>559</v>
      </c>
      <c r="K7" s="81">
        <v>2</v>
      </c>
      <c r="L7" s="83">
        <v>0</v>
      </c>
      <c r="M7" s="81">
        <v>0.6</v>
      </c>
      <c r="N7" s="83">
        <f t="shared" si="0"/>
        <v>0</v>
      </c>
      <c r="O7" s="84">
        <v>0</v>
      </c>
      <c r="P7" s="84">
        <v>0</v>
      </c>
      <c r="Q7" s="84">
        <v>1.6830000000000001</v>
      </c>
      <c r="R7" s="74" t="s">
        <v>560</v>
      </c>
      <c r="S7" s="74"/>
      <c r="T7" s="74"/>
      <c r="U7" s="74"/>
    </row>
    <row r="8" spans="1:21" ht="17.25" customHeight="1" outlineLevel="1">
      <c r="A8" s="73"/>
      <c r="B8" s="74"/>
      <c r="C8" s="75" t="s">
        <v>554</v>
      </c>
      <c r="D8" s="76" t="s">
        <v>555</v>
      </c>
      <c r="E8" s="77">
        <v>5</v>
      </c>
      <c r="F8" s="78" t="s">
        <v>64</v>
      </c>
      <c r="G8" s="74" t="s">
        <v>565</v>
      </c>
      <c r="H8" s="74" t="s">
        <v>566</v>
      </c>
      <c r="I8" s="79" t="s">
        <v>567</v>
      </c>
      <c r="J8" s="80" t="s">
        <v>559</v>
      </c>
      <c r="K8" s="81">
        <v>2</v>
      </c>
      <c r="L8" s="83">
        <v>0</v>
      </c>
      <c r="M8" s="81">
        <v>1</v>
      </c>
      <c r="N8" s="83">
        <f t="shared" si="0"/>
        <v>0</v>
      </c>
      <c r="O8" s="84">
        <v>0</v>
      </c>
      <c r="P8" s="84"/>
      <c r="Q8" s="84"/>
      <c r="R8" s="74"/>
      <c r="S8" s="74"/>
      <c r="T8" s="74"/>
      <c r="U8" s="74"/>
    </row>
    <row r="9" spans="1:21" ht="17.25" customHeight="1" outlineLevel="1">
      <c r="A9" s="73"/>
      <c r="B9" s="74"/>
      <c r="C9" s="75" t="s">
        <v>554</v>
      </c>
      <c r="D9" s="76" t="s">
        <v>555</v>
      </c>
      <c r="E9" s="77">
        <v>6</v>
      </c>
      <c r="F9" s="78" t="s">
        <v>64</v>
      </c>
      <c r="G9" s="74" t="s">
        <v>565</v>
      </c>
      <c r="H9" s="74"/>
      <c r="I9" s="79" t="s">
        <v>568</v>
      </c>
      <c r="J9" s="80" t="s">
        <v>559</v>
      </c>
      <c r="K9" s="81">
        <v>2</v>
      </c>
      <c r="L9" s="83">
        <v>0</v>
      </c>
      <c r="M9" s="81">
        <v>1</v>
      </c>
      <c r="N9" s="83">
        <f t="shared" si="0"/>
        <v>0</v>
      </c>
      <c r="O9" s="84">
        <v>0</v>
      </c>
      <c r="P9" s="84"/>
      <c r="Q9" s="84"/>
      <c r="R9" s="74"/>
      <c r="S9" s="74"/>
      <c r="T9" s="74"/>
      <c r="U9" s="74"/>
    </row>
    <row r="10" spans="1:21" ht="17.25" customHeight="1" outlineLevel="1">
      <c r="A10" s="73"/>
      <c r="B10" s="74"/>
      <c r="C10" s="75" t="s">
        <v>554</v>
      </c>
      <c r="D10" s="76" t="s">
        <v>555</v>
      </c>
      <c r="E10" s="77">
        <v>7</v>
      </c>
      <c r="F10" s="78" t="s">
        <v>556</v>
      </c>
      <c r="G10" s="74" t="s">
        <v>64</v>
      </c>
      <c r="H10" s="74" t="s">
        <v>569</v>
      </c>
      <c r="I10" s="79" t="s">
        <v>570</v>
      </c>
      <c r="J10" s="80" t="s">
        <v>559</v>
      </c>
      <c r="K10" s="81">
        <v>2</v>
      </c>
      <c r="L10" s="83">
        <v>0</v>
      </c>
      <c r="M10" s="81">
        <v>1</v>
      </c>
      <c r="N10" s="83">
        <f t="shared" si="0"/>
        <v>0</v>
      </c>
      <c r="O10" s="84">
        <v>0</v>
      </c>
      <c r="P10" s="84"/>
      <c r="Q10" s="84"/>
      <c r="R10" s="74"/>
      <c r="S10" s="74"/>
      <c r="T10" s="74"/>
      <c r="U10" s="74"/>
    </row>
    <row r="11" spans="1:21" ht="17.25" customHeight="1" outlineLevel="1">
      <c r="A11" s="73"/>
      <c r="B11" s="74"/>
      <c r="C11" s="75" t="s">
        <v>554</v>
      </c>
      <c r="D11" s="76" t="s">
        <v>555</v>
      </c>
      <c r="E11" s="77">
        <v>8</v>
      </c>
      <c r="F11" s="78" t="s">
        <v>64</v>
      </c>
      <c r="G11" s="74" t="s">
        <v>565</v>
      </c>
      <c r="H11" s="74"/>
      <c r="I11" s="79" t="s">
        <v>571</v>
      </c>
      <c r="J11" s="80" t="s">
        <v>559</v>
      </c>
      <c r="K11" s="81">
        <v>2</v>
      </c>
      <c r="L11" s="83">
        <v>0</v>
      </c>
      <c r="M11" s="81">
        <v>1</v>
      </c>
      <c r="N11" s="83">
        <f t="shared" si="0"/>
        <v>0</v>
      </c>
      <c r="O11" s="84">
        <v>0</v>
      </c>
      <c r="P11" s="84"/>
      <c r="Q11" s="84"/>
      <c r="R11" s="74"/>
      <c r="S11" s="74"/>
      <c r="T11" s="74"/>
      <c r="U11" s="74"/>
    </row>
    <row r="12" spans="1:21" ht="27.75" customHeight="1">
      <c r="A12" s="73" t="s">
        <v>548</v>
      </c>
      <c r="B12" s="74"/>
      <c r="C12" s="75" t="s">
        <v>554</v>
      </c>
      <c r="D12" s="76" t="s">
        <v>555</v>
      </c>
      <c r="E12" s="77">
        <v>9</v>
      </c>
      <c r="F12" s="78" t="s">
        <v>556</v>
      </c>
      <c r="G12" s="74" t="s">
        <v>64</v>
      </c>
      <c r="H12" s="74" t="s">
        <v>572</v>
      </c>
      <c r="I12" s="79" t="s">
        <v>573</v>
      </c>
      <c r="J12" s="80" t="s">
        <v>574</v>
      </c>
      <c r="K12" s="81">
        <f>51+30</f>
        <v>81</v>
      </c>
      <c r="L12" s="82">
        <v>0</v>
      </c>
      <c r="M12" s="81">
        <v>1</v>
      </c>
      <c r="N12" s="83">
        <f t="shared" si="0"/>
        <v>0</v>
      </c>
      <c r="O12" s="84">
        <v>0</v>
      </c>
      <c r="P12" s="84">
        <v>0</v>
      </c>
      <c r="Q12" s="84">
        <v>2.9580000000000002</v>
      </c>
      <c r="R12" s="74" t="s">
        <v>560</v>
      </c>
      <c r="S12" s="74"/>
      <c r="T12" s="74"/>
      <c r="U12" s="74"/>
    </row>
    <row r="13" spans="1:21" ht="17.25" customHeight="1">
      <c r="A13" s="73" t="s">
        <v>548</v>
      </c>
      <c r="B13" s="74"/>
      <c r="C13" s="75" t="s">
        <v>554</v>
      </c>
      <c r="D13" s="85" t="s">
        <v>575</v>
      </c>
      <c r="E13" s="77">
        <v>10</v>
      </c>
      <c r="F13" s="78" t="s">
        <v>64</v>
      </c>
      <c r="G13" s="74" t="s">
        <v>565</v>
      </c>
      <c r="H13" s="74" t="s">
        <v>576</v>
      </c>
      <c r="I13" s="86" t="s">
        <v>577</v>
      </c>
      <c r="J13" s="80" t="s">
        <v>574</v>
      </c>
      <c r="K13" s="81">
        <f>58.65+35</f>
        <v>93.65</v>
      </c>
      <c r="L13" s="83">
        <v>0</v>
      </c>
      <c r="M13" s="81">
        <v>1</v>
      </c>
      <c r="N13" s="83">
        <f t="shared" si="0"/>
        <v>0</v>
      </c>
      <c r="O13" s="84">
        <v>5.2784999999999999E-2</v>
      </c>
      <c r="P13" s="84"/>
      <c r="Q13" s="84"/>
      <c r="R13" s="74" t="s">
        <v>560</v>
      </c>
      <c r="S13" s="74"/>
      <c r="T13" s="74"/>
      <c r="U13" s="74"/>
    </row>
    <row r="14" spans="1:21" ht="17.25" customHeight="1">
      <c r="A14" s="73" t="s">
        <v>548</v>
      </c>
      <c r="B14" s="74"/>
      <c r="C14" s="75" t="s">
        <v>554</v>
      </c>
      <c r="D14" s="76" t="s">
        <v>555</v>
      </c>
      <c r="E14" s="77">
        <v>11</v>
      </c>
      <c r="F14" s="78" t="s">
        <v>556</v>
      </c>
      <c r="G14" s="74" t="s">
        <v>64</v>
      </c>
      <c r="H14" s="74" t="s">
        <v>578</v>
      </c>
      <c r="I14" s="79" t="s">
        <v>579</v>
      </c>
      <c r="J14" s="80" t="s">
        <v>574</v>
      </c>
      <c r="K14" s="81">
        <f>51+30</f>
        <v>81</v>
      </c>
      <c r="L14" s="82">
        <v>0</v>
      </c>
      <c r="M14" s="81">
        <v>1</v>
      </c>
      <c r="N14" s="83">
        <f t="shared" si="0"/>
        <v>0</v>
      </c>
      <c r="O14" s="84">
        <v>0</v>
      </c>
      <c r="P14" s="84">
        <v>0</v>
      </c>
      <c r="Q14" s="84">
        <v>4.59</v>
      </c>
      <c r="R14" s="74" t="s">
        <v>560</v>
      </c>
      <c r="S14" s="74"/>
      <c r="T14" s="74"/>
      <c r="U14" s="74"/>
    </row>
    <row r="15" spans="1:21" ht="27.75" customHeight="1">
      <c r="A15" s="73" t="s">
        <v>548</v>
      </c>
      <c r="B15" s="74"/>
      <c r="C15" s="75" t="s">
        <v>554</v>
      </c>
      <c r="D15" s="85" t="s">
        <v>575</v>
      </c>
      <c r="E15" s="77">
        <v>12</v>
      </c>
      <c r="F15" s="78" t="s">
        <v>64</v>
      </c>
      <c r="G15" s="74" t="s">
        <v>565</v>
      </c>
      <c r="H15" s="74" t="s">
        <v>580</v>
      </c>
      <c r="I15" s="86" t="s">
        <v>581</v>
      </c>
      <c r="J15" s="80" t="s">
        <v>574</v>
      </c>
      <c r="K15" s="81">
        <f>51+30</f>
        <v>81</v>
      </c>
      <c r="L15" s="83">
        <v>0</v>
      </c>
      <c r="M15" s="81">
        <v>1</v>
      </c>
      <c r="N15" s="83">
        <f t="shared" si="0"/>
        <v>0</v>
      </c>
      <c r="O15" s="84">
        <v>1.7850000000000001E-2</v>
      </c>
      <c r="P15" s="84"/>
      <c r="Q15" s="84"/>
      <c r="R15" s="74" t="s">
        <v>560</v>
      </c>
      <c r="S15" s="74"/>
      <c r="T15" s="74"/>
      <c r="U15" s="74"/>
    </row>
    <row r="16" spans="1:21" ht="17.25" customHeight="1">
      <c r="A16" s="73" t="s">
        <v>548</v>
      </c>
      <c r="B16" s="74"/>
      <c r="C16" s="75" t="s">
        <v>554</v>
      </c>
      <c r="D16" s="76" t="s">
        <v>555</v>
      </c>
      <c r="E16" s="77">
        <v>13</v>
      </c>
      <c r="F16" s="78" t="s">
        <v>556</v>
      </c>
      <c r="G16" s="74" t="s">
        <v>582</v>
      </c>
      <c r="H16" s="74" t="s">
        <v>583</v>
      </c>
      <c r="I16" s="79" t="s">
        <v>584</v>
      </c>
      <c r="J16" s="80" t="s">
        <v>574</v>
      </c>
      <c r="K16" s="81">
        <f>51+30</f>
        <v>81</v>
      </c>
      <c r="L16" s="83">
        <v>0</v>
      </c>
      <c r="M16" s="81">
        <v>1</v>
      </c>
      <c r="N16" s="83">
        <f t="shared" si="0"/>
        <v>0</v>
      </c>
      <c r="O16" s="84">
        <v>0</v>
      </c>
      <c r="P16" s="84">
        <v>0</v>
      </c>
      <c r="Q16" s="84">
        <v>1.1219999999999999</v>
      </c>
      <c r="R16" s="74" t="s">
        <v>560</v>
      </c>
      <c r="S16" s="74"/>
      <c r="T16" s="74"/>
      <c r="U16" s="74"/>
    </row>
    <row r="17" spans="1:21" ht="27.75" customHeight="1">
      <c r="A17" s="73" t="s">
        <v>548</v>
      </c>
      <c r="B17" s="74"/>
      <c r="C17" s="75" t="s">
        <v>554</v>
      </c>
      <c r="D17" s="76" t="s">
        <v>555</v>
      </c>
      <c r="E17" s="77">
        <v>14</v>
      </c>
      <c r="F17" s="78" t="s">
        <v>556</v>
      </c>
      <c r="G17" s="74" t="s">
        <v>64</v>
      </c>
      <c r="H17" s="74" t="s">
        <v>585</v>
      </c>
      <c r="I17" s="79" t="s">
        <v>586</v>
      </c>
      <c r="J17" s="80" t="s">
        <v>559</v>
      </c>
      <c r="K17" s="81">
        <v>9</v>
      </c>
      <c r="L17" s="82">
        <v>0</v>
      </c>
      <c r="M17" s="81">
        <v>1</v>
      </c>
      <c r="N17" s="83">
        <f t="shared" si="0"/>
        <v>0</v>
      </c>
      <c r="O17" s="84">
        <v>0</v>
      </c>
      <c r="P17" s="84">
        <v>0</v>
      </c>
      <c r="Q17" s="84">
        <v>28.986999999999998</v>
      </c>
      <c r="R17" s="74" t="s">
        <v>560</v>
      </c>
      <c r="S17" s="74"/>
      <c r="T17" s="74"/>
      <c r="U17" s="74"/>
    </row>
    <row r="18" spans="1:21" ht="17.25" customHeight="1">
      <c r="A18" s="73" t="s">
        <v>548</v>
      </c>
      <c r="B18" s="74"/>
      <c r="C18" s="75" t="s">
        <v>554</v>
      </c>
      <c r="D18" s="85" t="s">
        <v>575</v>
      </c>
      <c r="E18" s="77">
        <v>15</v>
      </c>
      <c r="F18" s="78" t="s">
        <v>64</v>
      </c>
      <c r="G18" s="74" t="s">
        <v>565</v>
      </c>
      <c r="H18" s="74" t="s">
        <v>587</v>
      </c>
      <c r="I18" s="86" t="s">
        <v>588</v>
      </c>
      <c r="J18" s="80" t="s">
        <v>559</v>
      </c>
      <c r="K18" s="81">
        <v>9</v>
      </c>
      <c r="L18" s="83">
        <v>0</v>
      </c>
      <c r="M18" s="81">
        <v>1</v>
      </c>
      <c r="N18" s="83">
        <f t="shared" si="0"/>
        <v>0</v>
      </c>
      <c r="O18" s="84">
        <v>5.67E-2</v>
      </c>
      <c r="P18" s="84"/>
      <c r="Q18" s="84"/>
      <c r="R18" s="74" t="s">
        <v>560</v>
      </c>
      <c r="S18" s="74"/>
      <c r="T18" s="74"/>
      <c r="U18" s="74"/>
    </row>
    <row r="19" spans="1:21" ht="27.75" customHeight="1">
      <c r="A19" s="73" t="s">
        <v>548</v>
      </c>
      <c r="B19" s="74"/>
      <c r="C19" s="75" t="s">
        <v>554</v>
      </c>
      <c r="D19" s="76" t="s">
        <v>555</v>
      </c>
      <c r="E19" s="77">
        <v>16</v>
      </c>
      <c r="F19" s="78" t="s">
        <v>556</v>
      </c>
      <c r="G19" s="74" t="s">
        <v>64</v>
      </c>
      <c r="H19" s="74" t="s">
        <v>589</v>
      </c>
      <c r="I19" s="79" t="s">
        <v>590</v>
      </c>
      <c r="J19" s="80" t="s">
        <v>574</v>
      </c>
      <c r="K19" s="81">
        <f>51+30</f>
        <v>81</v>
      </c>
      <c r="L19" s="82">
        <v>0</v>
      </c>
      <c r="M19" s="81">
        <v>1</v>
      </c>
      <c r="N19" s="83">
        <f t="shared" si="0"/>
        <v>0</v>
      </c>
      <c r="O19" s="84">
        <v>0</v>
      </c>
      <c r="P19" s="84">
        <v>0</v>
      </c>
      <c r="Q19" s="84">
        <v>6.2729999999999997</v>
      </c>
      <c r="R19" s="74" t="s">
        <v>560</v>
      </c>
      <c r="S19" s="74"/>
      <c r="T19" s="74"/>
      <c r="U19" s="74"/>
    </row>
    <row r="20" spans="1:21" ht="17.25" customHeight="1">
      <c r="A20" s="73" t="s">
        <v>548</v>
      </c>
      <c r="B20" s="74"/>
      <c r="C20" s="75" t="s">
        <v>554</v>
      </c>
      <c r="D20" s="85" t="s">
        <v>575</v>
      </c>
      <c r="E20" s="77">
        <v>17</v>
      </c>
      <c r="F20" s="78" t="s">
        <v>64</v>
      </c>
      <c r="G20" s="74" t="s">
        <v>565</v>
      </c>
      <c r="H20" s="74" t="s">
        <v>591</v>
      </c>
      <c r="I20" s="86" t="s">
        <v>592</v>
      </c>
      <c r="J20" s="80" t="s">
        <v>593</v>
      </c>
      <c r="K20" s="81">
        <f>31.62+16</f>
        <v>47.620000000000005</v>
      </c>
      <c r="L20" s="83">
        <v>0</v>
      </c>
      <c r="M20" s="81">
        <v>1</v>
      </c>
      <c r="N20" s="83">
        <f t="shared" si="0"/>
        <v>0</v>
      </c>
      <c r="O20" s="84">
        <v>3.1620000000000002E-2</v>
      </c>
      <c r="P20" s="84"/>
      <c r="Q20" s="84"/>
      <c r="R20" s="74" t="s">
        <v>560</v>
      </c>
      <c r="S20" s="74"/>
      <c r="T20" s="74"/>
      <c r="U20" s="74"/>
    </row>
    <row r="21" spans="1:21" ht="17.25" customHeight="1">
      <c r="A21" s="73" t="s">
        <v>548</v>
      </c>
      <c r="B21" s="74"/>
      <c r="C21" s="75" t="s">
        <v>554</v>
      </c>
      <c r="D21" s="85" t="s">
        <v>575</v>
      </c>
      <c r="E21" s="77">
        <v>18</v>
      </c>
      <c r="F21" s="78" t="s">
        <v>64</v>
      </c>
      <c r="G21" s="74" t="s">
        <v>565</v>
      </c>
      <c r="H21" s="74" t="s">
        <v>594</v>
      </c>
      <c r="I21" s="86" t="s">
        <v>595</v>
      </c>
      <c r="J21" s="80" t="s">
        <v>559</v>
      </c>
      <c r="K21" s="81">
        <v>20</v>
      </c>
      <c r="L21" s="83">
        <v>0</v>
      </c>
      <c r="M21" s="81">
        <v>1</v>
      </c>
      <c r="N21" s="83">
        <f>K21*L21</f>
        <v>0</v>
      </c>
      <c r="O21" s="84">
        <v>2.7599999999999999E-3</v>
      </c>
      <c r="P21" s="84"/>
      <c r="Q21" s="84"/>
      <c r="R21" s="74" t="s">
        <v>560</v>
      </c>
      <c r="S21" s="74"/>
      <c r="T21" s="74"/>
      <c r="U21" s="74"/>
    </row>
    <row r="22" spans="1:21" ht="17.25" customHeight="1">
      <c r="A22" s="62" t="s">
        <v>548</v>
      </c>
      <c r="B22" s="63"/>
      <c r="C22" s="64" t="s">
        <v>551</v>
      </c>
      <c r="D22" s="65"/>
      <c r="E22" s="66">
        <v>0</v>
      </c>
      <c r="F22" s="65" t="s">
        <v>549</v>
      </c>
      <c r="G22" s="63"/>
      <c r="H22" s="63" t="s">
        <v>596</v>
      </c>
      <c r="I22" s="67" t="s">
        <v>597</v>
      </c>
      <c r="J22" s="68"/>
      <c r="K22" s="69"/>
      <c r="L22" s="70"/>
      <c r="M22" s="71"/>
      <c r="N22" s="72">
        <f>SUM(N23:N36)</f>
        <v>0</v>
      </c>
      <c r="O22" s="71">
        <v>7.7173100000000003</v>
      </c>
      <c r="P22" s="71">
        <v>0</v>
      </c>
      <c r="Q22" s="71">
        <v>112.08656000000001</v>
      </c>
      <c r="R22" s="63"/>
      <c r="S22" s="63"/>
      <c r="T22" s="63"/>
      <c r="U22" s="64"/>
    </row>
    <row r="23" spans="1:21" ht="27.75" customHeight="1">
      <c r="A23" s="73" t="s">
        <v>548</v>
      </c>
      <c r="B23" s="74"/>
      <c r="C23" s="75" t="s">
        <v>554</v>
      </c>
      <c r="D23" s="76" t="s">
        <v>555</v>
      </c>
      <c r="E23" s="77">
        <v>19</v>
      </c>
      <c r="F23" s="78" t="s">
        <v>556</v>
      </c>
      <c r="G23" s="74" t="s">
        <v>64</v>
      </c>
      <c r="H23" s="74" t="s">
        <v>598</v>
      </c>
      <c r="I23" s="79" t="s">
        <v>599</v>
      </c>
      <c r="J23" s="80" t="s">
        <v>600</v>
      </c>
      <c r="K23" s="81">
        <v>0.08</v>
      </c>
      <c r="L23" s="83">
        <v>0</v>
      </c>
      <c r="M23" s="81">
        <v>1</v>
      </c>
      <c r="N23" s="83">
        <f>K23*L23</f>
        <v>0</v>
      </c>
      <c r="O23" s="84">
        <v>4.4000000000000002E-4</v>
      </c>
      <c r="P23" s="84">
        <v>0</v>
      </c>
      <c r="Q23" s="84">
        <v>0.20499999999999999</v>
      </c>
      <c r="R23" s="74" t="s">
        <v>560</v>
      </c>
      <c r="S23" s="74"/>
      <c r="T23" s="74"/>
      <c r="U23" s="74"/>
    </row>
    <row r="24" spans="1:21" ht="27.75" customHeight="1">
      <c r="A24" s="73" t="s">
        <v>548</v>
      </c>
      <c r="B24" s="74"/>
      <c r="C24" s="75" t="s">
        <v>554</v>
      </c>
      <c r="D24" s="76" t="s">
        <v>555</v>
      </c>
      <c r="E24" s="77">
        <v>20</v>
      </c>
      <c r="F24" s="78" t="s">
        <v>556</v>
      </c>
      <c r="G24" s="74" t="s">
        <v>64</v>
      </c>
      <c r="H24" s="74" t="s">
        <v>601</v>
      </c>
      <c r="I24" s="79" t="s">
        <v>602</v>
      </c>
      <c r="J24" s="80" t="s">
        <v>574</v>
      </c>
      <c r="K24" s="81">
        <f>26+30</f>
        <v>56</v>
      </c>
      <c r="L24" s="83">
        <v>0</v>
      </c>
      <c r="M24" s="81">
        <v>1</v>
      </c>
      <c r="N24" s="83">
        <f>K24*L24</f>
        <v>0</v>
      </c>
      <c r="O24" s="84">
        <v>0</v>
      </c>
      <c r="P24" s="84">
        <v>0</v>
      </c>
      <c r="Q24" s="84">
        <v>51.271999999999998</v>
      </c>
      <c r="R24" s="74" t="s">
        <v>560</v>
      </c>
      <c r="S24" s="74"/>
      <c r="T24" s="74"/>
      <c r="U24" s="74"/>
    </row>
    <row r="25" spans="1:21" ht="27.75" customHeight="1">
      <c r="A25" s="73" t="s">
        <v>548</v>
      </c>
      <c r="B25" s="74"/>
      <c r="C25" s="75" t="s">
        <v>554</v>
      </c>
      <c r="D25" s="76" t="s">
        <v>555</v>
      </c>
      <c r="E25" s="77">
        <v>21</v>
      </c>
      <c r="F25" s="78" t="s">
        <v>556</v>
      </c>
      <c r="G25" s="74" t="s">
        <v>64</v>
      </c>
      <c r="H25" s="74" t="s">
        <v>603</v>
      </c>
      <c r="I25" s="79" t="s">
        <v>604</v>
      </c>
      <c r="J25" s="80" t="s">
        <v>574</v>
      </c>
      <c r="K25" s="81">
        <v>12</v>
      </c>
      <c r="L25" s="83">
        <v>0</v>
      </c>
      <c r="M25" s="81">
        <v>1</v>
      </c>
      <c r="N25" s="83">
        <f>K25*L25</f>
        <v>0</v>
      </c>
      <c r="O25" s="84">
        <v>0</v>
      </c>
      <c r="P25" s="84">
        <v>0</v>
      </c>
      <c r="Q25" s="84">
        <v>29.58</v>
      </c>
      <c r="R25" s="74" t="s">
        <v>560</v>
      </c>
      <c r="S25" s="74"/>
      <c r="T25" s="74"/>
      <c r="U25" s="74"/>
    </row>
    <row r="26" spans="1:21" ht="27.75" customHeight="1">
      <c r="A26" s="73" t="s">
        <v>548</v>
      </c>
      <c r="B26" s="74"/>
      <c r="C26" s="75" t="s">
        <v>554</v>
      </c>
      <c r="D26" s="76" t="s">
        <v>555</v>
      </c>
      <c r="E26" s="77">
        <v>22</v>
      </c>
      <c r="F26" s="78" t="s">
        <v>556</v>
      </c>
      <c r="G26" s="74" t="s">
        <v>64</v>
      </c>
      <c r="H26" s="74" t="s">
        <v>605</v>
      </c>
      <c r="I26" s="79" t="s">
        <v>606</v>
      </c>
      <c r="J26" s="80" t="s">
        <v>574</v>
      </c>
      <c r="K26" s="81">
        <f>38+30</f>
        <v>68</v>
      </c>
      <c r="L26" s="83">
        <v>0</v>
      </c>
      <c r="M26" s="81">
        <v>1</v>
      </c>
      <c r="N26" s="83">
        <f>K26*L26</f>
        <v>0</v>
      </c>
      <c r="O26" s="84">
        <v>7.7140000000000004</v>
      </c>
      <c r="P26" s="84">
        <v>0</v>
      </c>
      <c r="Q26" s="84">
        <v>2.774</v>
      </c>
      <c r="R26" s="74" t="s">
        <v>560</v>
      </c>
      <c r="S26" s="74"/>
      <c r="T26" s="74"/>
      <c r="U26" s="74"/>
    </row>
    <row r="27" spans="1:21" ht="17.25" customHeight="1">
      <c r="A27" s="73" t="s">
        <v>548</v>
      </c>
      <c r="B27" s="74"/>
      <c r="C27" s="75" t="s">
        <v>554</v>
      </c>
      <c r="D27" s="76" t="s">
        <v>555</v>
      </c>
      <c r="E27" s="77">
        <v>23</v>
      </c>
      <c r="F27" s="78" t="s">
        <v>556</v>
      </c>
      <c r="G27" s="74" t="s">
        <v>64</v>
      </c>
      <c r="H27" s="74" t="s">
        <v>607</v>
      </c>
      <c r="I27" s="79" t="s">
        <v>608</v>
      </c>
      <c r="J27" s="80" t="s">
        <v>574</v>
      </c>
      <c r="K27" s="81">
        <f>41+30</f>
        <v>71</v>
      </c>
      <c r="L27" s="83">
        <v>0</v>
      </c>
      <c r="M27" s="81">
        <v>1</v>
      </c>
      <c r="N27" s="83">
        <f>K27*L27</f>
        <v>0</v>
      </c>
      <c r="O27" s="84">
        <v>2.4599999999999999E-3</v>
      </c>
      <c r="P27" s="84">
        <v>0</v>
      </c>
      <c r="Q27" s="84">
        <v>0.90200000000000002</v>
      </c>
      <c r="R27" s="74" t="s">
        <v>560</v>
      </c>
      <c r="S27" s="74"/>
      <c r="T27" s="74"/>
      <c r="U27" s="74"/>
    </row>
    <row r="28" spans="1:21" ht="17.25" customHeight="1">
      <c r="A28" s="73" t="s">
        <v>548</v>
      </c>
      <c r="B28" s="74"/>
      <c r="C28" s="75" t="s">
        <v>554</v>
      </c>
      <c r="D28" s="85" t="s">
        <v>575</v>
      </c>
      <c r="E28" s="77">
        <v>24</v>
      </c>
      <c r="F28" s="78" t="s">
        <v>64</v>
      </c>
      <c r="G28" s="74" t="s">
        <v>565</v>
      </c>
      <c r="H28" s="74" t="s">
        <v>609</v>
      </c>
      <c r="I28" s="86" t="s">
        <v>610</v>
      </c>
      <c r="J28" s="80" t="s">
        <v>574</v>
      </c>
      <c r="K28" s="81">
        <f>41+30</f>
        <v>71</v>
      </c>
      <c r="L28" s="83">
        <v>0</v>
      </c>
      <c r="M28" s="81">
        <v>1</v>
      </c>
      <c r="N28" s="83">
        <f t="shared" ref="N28:N34" si="1">K28*L28</f>
        <v>0</v>
      </c>
      <c r="O28" s="84">
        <v>4.0999999999999999E-4</v>
      </c>
      <c r="P28" s="84"/>
      <c r="Q28" s="84"/>
      <c r="R28" s="74" t="s">
        <v>560</v>
      </c>
      <c r="S28" s="74"/>
      <c r="T28" s="74"/>
      <c r="U28" s="74"/>
    </row>
    <row r="29" spans="1:21" ht="17.25" customHeight="1">
      <c r="A29" s="73" t="s">
        <v>548</v>
      </c>
      <c r="B29" s="74"/>
      <c r="C29" s="75" t="s">
        <v>554</v>
      </c>
      <c r="D29" s="76" t="s">
        <v>555</v>
      </c>
      <c r="E29" s="77">
        <v>25</v>
      </c>
      <c r="F29" s="78" t="s">
        <v>556</v>
      </c>
      <c r="G29" s="74" t="s">
        <v>64</v>
      </c>
      <c r="H29" s="74" t="s">
        <v>611</v>
      </c>
      <c r="I29" s="79" t="s">
        <v>612</v>
      </c>
      <c r="J29" s="80" t="s">
        <v>574</v>
      </c>
      <c r="K29" s="81">
        <f>26+30</f>
        <v>56</v>
      </c>
      <c r="L29" s="83">
        <v>0</v>
      </c>
      <c r="M29" s="81">
        <v>1</v>
      </c>
      <c r="N29" s="83">
        <f t="shared" si="1"/>
        <v>0</v>
      </c>
      <c r="O29" s="84">
        <v>0</v>
      </c>
      <c r="P29" s="84">
        <v>0</v>
      </c>
      <c r="Q29" s="84">
        <v>14.013999999999999</v>
      </c>
      <c r="R29" s="74" t="s">
        <v>560</v>
      </c>
      <c r="S29" s="74"/>
      <c r="T29" s="74"/>
      <c r="U29" s="74"/>
    </row>
    <row r="30" spans="1:21" ht="17.25" customHeight="1">
      <c r="A30" s="73" t="s">
        <v>548</v>
      </c>
      <c r="B30" s="74"/>
      <c r="C30" s="75" t="s">
        <v>554</v>
      </c>
      <c r="D30" s="76" t="s">
        <v>555</v>
      </c>
      <c r="E30" s="77">
        <v>26</v>
      </c>
      <c r="F30" s="78" t="s">
        <v>556</v>
      </c>
      <c r="G30" s="74" t="s">
        <v>64</v>
      </c>
      <c r="H30" s="74" t="s">
        <v>613</v>
      </c>
      <c r="I30" s="79" t="s">
        <v>614</v>
      </c>
      <c r="J30" s="80" t="s">
        <v>574</v>
      </c>
      <c r="K30" s="81">
        <v>12</v>
      </c>
      <c r="L30" s="83">
        <v>0</v>
      </c>
      <c r="M30" s="81">
        <v>1</v>
      </c>
      <c r="N30" s="83">
        <f t="shared" si="1"/>
        <v>0</v>
      </c>
      <c r="O30" s="84">
        <v>0</v>
      </c>
      <c r="P30" s="84">
        <v>0</v>
      </c>
      <c r="Q30" s="84">
        <v>8.0760000000000005</v>
      </c>
      <c r="R30" s="74" t="s">
        <v>560</v>
      </c>
      <c r="S30" s="74"/>
      <c r="T30" s="74"/>
      <c r="U30" s="74"/>
    </row>
    <row r="31" spans="1:21" ht="17.25" customHeight="1">
      <c r="A31" s="73" t="s">
        <v>548</v>
      </c>
      <c r="B31" s="74"/>
      <c r="C31" s="75" t="s">
        <v>554</v>
      </c>
      <c r="D31" s="76" t="s">
        <v>555</v>
      </c>
      <c r="E31" s="77">
        <v>27</v>
      </c>
      <c r="F31" s="78" t="s">
        <v>556</v>
      </c>
      <c r="G31" s="74" t="s">
        <v>64</v>
      </c>
      <c r="H31" s="74" t="s">
        <v>615</v>
      </c>
      <c r="I31" s="79" t="s">
        <v>616</v>
      </c>
      <c r="J31" s="80" t="s">
        <v>617</v>
      </c>
      <c r="K31" s="81">
        <v>44.8</v>
      </c>
      <c r="L31" s="83">
        <v>0</v>
      </c>
      <c r="M31" s="81">
        <v>1</v>
      </c>
      <c r="N31" s="83">
        <f t="shared" si="1"/>
        <v>0</v>
      </c>
      <c r="O31" s="84">
        <v>0</v>
      </c>
      <c r="P31" s="84">
        <v>0</v>
      </c>
      <c r="Q31" s="84">
        <v>3.0703999999999998</v>
      </c>
      <c r="R31" s="74" t="s">
        <v>560</v>
      </c>
      <c r="S31" s="74"/>
      <c r="T31" s="74"/>
      <c r="U31" s="74"/>
    </row>
    <row r="32" spans="1:21" ht="17.25" customHeight="1">
      <c r="A32" s="73" t="s">
        <v>548</v>
      </c>
      <c r="B32" s="74"/>
      <c r="C32" s="75" t="s">
        <v>554</v>
      </c>
      <c r="D32" s="76" t="s">
        <v>555</v>
      </c>
      <c r="E32" s="77">
        <v>28</v>
      </c>
      <c r="F32" s="78" t="s">
        <v>556</v>
      </c>
      <c r="G32" s="74" t="s">
        <v>64</v>
      </c>
      <c r="H32" s="74" t="s">
        <v>618</v>
      </c>
      <c r="I32" s="79" t="s">
        <v>619</v>
      </c>
      <c r="J32" s="80" t="s">
        <v>620</v>
      </c>
      <c r="K32" s="81">
        <v>0.28799999999999998</v>
      </c>
      <c r="L32" s="83">
        <v>0</v>
      </c>
      <c r="M32" s="81">
        <v>1</v>
      </c>
      <c r="N32" s="83">
        <f t="shared" si="1"/>
        <v>0</v>
      </c>
      <c r="O32" s="84">
        <v>0</v>
      </c>
      <c r="P32" s="84">
        <v>0</v>
      </c>
      <c r="Q32" s="84">
        <v>1.8535680000000001</v>
      </c>
      <c r="R32" s="74" t="s">
        <v>560</v>
      </c>
      <c r="S32" s="74"/>
      <c r="T32" s="74"/>
      <c r="U32" s="74"/>
    </row>
    <row r="33" spans="1:21" ht="17.25" customHeight="1">
      <c r="A33" s="73" t="s">
        <v>548</v>
      </c>
      <c r="B33" s="74"/>
      <c r="C33" s="75" t="s">
        <v>554</v>
      </c>
      <c r="D33" s="76" t="s">
        <v>555</v>
      </c>
      <c r="E33" s="77">
        <v>29</v>
      </c>
      <c r="F33" s="78" t="s">
        <v>556</v>
      </c>
      <c r="G33" s="74" t="s">
        <v>64</v>
      </c>
      <c r="H33" s="74" t="s">
        <v>621</v>
      </c>
      <c r="I33" s="79" t="s">
        <v>622</v>
      </c>
      <c r="J33" s="80" t="s">
        <v>623</v>
      </c>
      <c r="K33" s="81">
        <v>0.374</v>
      </c>
      <c r="L33" s="83">
        <v>0</v>
      </c>
      <c r="M33" s="81">
        <v>1</v>
      </c>
      <c r="N33" s="83">
        <f t="shared" si="1"/>
        <v>0</v>
      </c>
      <c r="O33" s="84">
        <v>0</v>
      </c>
      <c r="P33" s="84">
        <v>0</v>
      </c>
      <c r="Q33" s="84">
        <v>0.28872799999999998</v>
      </c>
      <c r="R33" s="74" t="s">
        <v>560</v>
      </c>
      <c r="S33" s="74"/>
      <c r="T33" s="74"/>
      <c r="U33" s="74"/>
    </row>
    <row r="34" spans="1:21" ht="17.25" customHeight="1">
      <c r="A34" s="73" t="s">
        <v>548</v>
      </c>
      <c r="B34" s="74"/>
      <c r="C34" s="75" t="s">
        <v>554</v>
      </c>
      <c r="D34" s="76" t="s">
        <v>555</v>
      </c>
      <c r="E34" s="77">
        <v>30</v>
      </c>
      <c r="F34" s="78" t="s">
        <v>556</v>
      </c>
      <c r="G34" s="74" t="s">
        <v>64</v>
      </c>
      <c r="H34" s="74" t="s">
        <v>624</v>
      </c>
      <c r="I34" s="79" t="s">
        <v>625</v>
      </c>
      <c r="J34" s="80" t="s">
        <v>623</v>
      </c>
      <c r="K34" s="81">
        <v>6.3579999999999997</v>
      </c>
      <c r="L34" s="83">
        <v>0</v>
      </c>
      <c r="M34" s="81">
        <v>1</v>
      </c>
      <c r="N34" s="83">
        <f t="shared" si="1"/>
        <v>0</v>
      </c>
      <c r="O34" s="84">
        <v>0</v>
      </c>
      <c r="P34" s="84">
        <v>0</v>
      </c>
      <c r="Q34" s="84">
        <v>5.0863999999999999E-2</v>
      </c>
      <c r="R34" s="74" t="s">
        <v>560</v>
      </c>
      <c r="S34" s="74"/>
      <c r="T34" s="74"/>
      <c r="U34" s="74"/>
    </row>
    <row r="35" spans="1:21" ht="25.5" customHeight="1">
      <c r="A35" s="73"/>
      <c r="B35" s="74"/>
      <c r="C35" s="75" t="s">
        <v>554</v>
      </c>
      <c r="D35" s="76" t="s">
        <v>555</v>
      </c>
      <c r="E35" s="77">
        <v>31</v>
      </c>
      <c r="F35" s="78" t="s">
        <v>556</v>
      </c>
      <c r="G35" s="74" t="s">
        <v>64</v>
      </c>
      <c r="H35" s="74" t="s">
        <v>626</v>
      </c>
      <c r="I35" s="79" t="s">
        <v>627</v>
      </c>
      <c r="J35" s="80" t="s">
        <v>559</v>
      </c>
      <c r="K35" s="81">
        <v>2</v>
      </c>
      <c r="L35" s="83">
        <v>0</v>
      </c>
      <c r="M35" s="81">
        <v>1</v>
      </c>
      <c r="N35" s="83">
        <f>K35*L35</f>
        <v>0</v>
      </c>
      <c r="O35" s="84"/>
      <c r="P35" s="84"/>
      <c r="Q35" s="84"/>
      <c r="R35" s="74"/>
      <c r="S35" s="74"/>
      <c r="T35" s="74"/>
      <c r="U35" s="74"/>
    </row>
    <row r="36" spans="1:21" ht="17.25" customHeight="1">
      <c r="A36" s="73"/>
      <c r="B36" s="74"/>
      <c r="C36" s="75" t="s">
        <v>554</v>
      </c>
      <c r="D36" s="76" t="s">
        <v>555</v>
      </c>
      <c r="E36" s="77">
        <v>32</v>
      </c>
      <c r="F36" s="78" t="s">
        <v>556</v>
      </c>
      <c r="G36" s="74" t="s">
        <v>64</v>
      </c>
      <c r="H36" s="74" t="s">
        <v>628</v>
      </c>
      <c r="I36" s="79" t="s">
        <v>629</v>
      </c>
      <c r="J36" s="80" t="s">
        <v>620</v>
      </c>
      <c r="K36" s="81">
        <f>0.6*0.6*0.8*2</f>
        <v>0.57600000000000018</v>
      </c>
      <c r="L36" s="83">
        <v>0</v>
      </c>
      <c r="M36" s="81">
        <v>1</v>
      </c>
      <c r="N36" s="83">
        <f>K36*L36</f>
        <v>0</v>
      </c>
      <c r="O36" s="84"/>
      <c r="P36" s="84"/>
      <c r="Q36" s="84"/>
      <c r="R36" s="74"/>
      <c r="S36" s="74"/>
      <c r="T36" s="74"/>
      <c r="U36" s="74"/>
    </row>
    <row r="37" spans="1:21" ht="17.25" customHeight="1">
      <c r="A37" s="62" t="s">
        <v>548</v>
      </c>
      <c r="B37" s="63"/>
      <c r="C37" s="64" t="s">
        <v>630</v>
      </c>
      <c r="D37" s="65"/>
      <c r="E37" s="66">
        <v>0</v>
      </c>
      <c r="F37" s="65" t="s">
        <v>549</v>
      </c>
      <c r="G37" s="63"/>
      <c r="H37" s="63" t="s">
        <v>631</v>
      </c>
      <c r="I37" s="67" t="s">
        <v>632</v>
      </c>
      <c r="J37" s="68"/>
      <c r="K37" s="69"/>
      <c r="L37" s="70"/>
      <c r="M37" s="71"/>
      <c r="N37" s="72">
        <f>N38+N48+N50+N57+N59</f>
        <v>0</v>
      </c>
      <c r="O37" s="71">
        <v>0</v>
      </c>
      <c r="P37" s="71">
        <v>0</v>
      </c>
      <c r="Q37" s="71">
        <v>9.4499999999999993</v>
      </c>
      <c r="R37" s="63"/>
      <c r="S37" s="63"/>
      <c r="T37" s="63"/>
      <c r="U37" s="64"/>
    </row>
    <row r="38" spans="1:21" ht="17.25" customHeight="1">
      <c r="A38" s="62" t="s">
        <v>548</v>
      </c>
      <c r="B38" s="63"/>
      <c r="C38" s="64" t="s">
        <v>551</v>
      </c>
      <c r="D38" s="65"/>
      <c r="E38" s="66">
        <v>0</v>
      </c>
      <c r="F38" s="65" t="s">
        <v>549</v>
      </c>
      <c r="G38" s="63"/>
      <c r="H38" s="63" t="s">
        <v>633</v>
      </c>
      <c r="I38" s="67" t="s">
        <v>634</v>
      </c>
      <c r="J38" s="68"/>
      <c r="K38" s="69"/>
      <c r="L38" s="70"/>
      <c r="M38" s="71"/>
      <c r="N38" s="70">
        <f>SUM(N39:N47)</f>
        <v>0</v>
      </c>
      <c r="O38" s="71">
        <v>0</v>
      </c>
      <c r="P38" s="71">
        <v>0</v>
      </c>
      <c r="Q38" s="71">
        <v>5.45</v>
      </c>
      <c r="R38" s="63"/>
      <c r="S38" s="63"/>
      <c r="T38" s="63"/>
      <c r="U38" s="70"/>
    </row>
    <row r="39" spans="1:21" ht="27.75" customHeight="1">
      <c r="A39" s="73" t="s">
        <v>548</v>
      </c>
      <c r="B39" s="74"/>
      <c r="C39" s="75" t="s">
        <v>554</v>
      </c>
      <c r="D39" s="76" t="s">
        <v>555</v>
      </c>
      <c r="E39" s="77">
        <v>33</v>
      </c>
      <c r="F39" s="78" t="s">
        <v>556</v>
      </c>
      <c r="G39" s="74" t="s">
        <v>64</v>
      </c>
      <c r="H39" s="74" t="s">
        <v>635</v>
      </c>
      <c r="I39" s="79" t="s">
        <v>636</v>
      </c>
      <c r="J39" s="80" t="s">
        <v>637</v>
      </c>
      <c r="K39" s="81">
        <v>3</v>
      </c>
      <c r="L39" s="83">
        <v>0</v>
      </c>
      <c r="M39" s="81">
        <v>1</v>
      </c>
      <c r="N39" s="83">
        <f>K39*L39</f>
        <v>0</v>
      </c>
      <c r="O39" s="84">
        <v>0</v>
      </c>
      <c r="P39" s="84">
        <v>0</v>
      </c>
      <c r="Q39" s="84">
        <v>0.63</v>
      </c>
      <c r="R39" s="74" t="s">
        <v>560</v>
      </c>
      <c r="S39" s="74"/>
      <c r="T39" s="74"/>
      <c r="U39" s="74"/>
    </row>
    <row r="40" spans="1:21" ht="27.75" customHeight="1">
      <c r="A40" s="73" t="s">
        <v>548</v>
      </c>
      <c r="B40" s="74"/>
      <c r="C40" s="75" t="s">
        <v>554</v>
      </c>
      <c r="D40" s="76" t="s">
        <v>555</v>
      </c>
      <c r="E40" s="77">
        <v>34</v>
      </c>
      <c r="F40" s="78" t="s">
        <v>556</v>
      </c>
      <c r="G40" s="74" t="s">
        <v>64</v>
      </c>
      <c r="H40" s="74" t="s">
        <v>638</v>
      </c>
      <c r="I40" s="79" t="s">
        <v>639</v>
      </c>
      <c r="J40" s="80" t="s">
        <v>559</v>
      </c>
      <c r="K40" s="81">
        <v>4</v>
      </c>
      <c r="L40" s="83">
        <v>0</v>
      </c>
      <c r="M40" s="81">
        <v>1</v>
      </c>
      <c r="N40" s="83">
        <f t="shared" ref="N40:N47" si="2">K40*L40</f>
        <v>0</v>
      </c>
      <c r="O40" s="84">
        <v>0</v>
      </c>
      <c r="P40" s="84">
        <v>0</v>
      </c>
      <c r="Q40" s="84">
        <v>0.52</v>
      </c>
      <c r="R40" s="74" t="s">
        <v>560</v>
      </c>
      <c r="S40" s="74"/>
      <c r="T40" s="74"/>
      <c r="U40" s="74"/>
    </row>
    <row r="41" spans="1:21" ht="27.75" customHeight="1">
      <c r="A41" s="73" t="s">
        <v>548</v>
      </c>
      <c r="B41" s="74"/>
      <c r="C41" s="75" t="s">
        <v>554</v>
      </c>
      <c r="D41" s="76" t="s">
        <v>555</v>
      </c>
      <c r="E41" s="77">
        <v>35</v>
      </c>
      <c r="F41" s="78" t="s">
        <v>556</v>
      </c>
      <c r="G41" s="74" t="s">
        <v>64</v>
      </c>
      <c r="H41" s="74" t="s">
        <v>640</v>
      </c>
      <c r="I41" s="79" t="s">
        <v>641</v>
      </c>
      <c r="J41" s="80" t="s">
        <v>642</v>
      </c>
      <c r="K41" s="81">
        <v>3</v>
      </c>
      <c r="L41" s="83">
        <v>0</v>
      </c>
      <c r="M41" s="81">
        <v>1</v>
      </c>
      <c r="N41" s="83">
        <f t="shared" si="2"/>
        <v>0</v>
      </c>
      <c r="O41" s="84">
        <v>0</v>
      </c>
      <c r="P41" s="84">
        <v>0</v>
      </c>
      <c r="Q41" s="84">
        <v>0.12</v>
      </c>
      <c r="R41" s="74" t="s">
        <v>560</v>
      </c>
      <c r="S41" s="74"/>
      <c r="T41" s="74"/>
      <c r="U41" s="74"/>
    </row>
    <row r="42" spans="1:21" ht="27.75" customHeight="1">
      <c r="A42" s="73" t="s">
        <v>548</v>
      </c>
      <c r="B42" s="74"/>
      <c r="C42" s="75" t="s">
        <v>554</v>
      </c>
      <c r="D42" s="76" t="s">
        <v>555</v>
      </c>
      <c r="E42" s="77">
        <v>36</v>
      </c>
      <c r="F42" s="78" t="s">
        <v>556</v>
      </c>
      <c r="G42" s="74" t="s">
        <v>64</v>
      </c>
      <c r="H42" s="74" t="s">
        <v>643</v>
      </c>
      <c r="I42" s="79" t="s">
        <v>644</v>
      </c>
      <c r="J42" s="80" t="s">
        <v>642</v>
      </c>
      <c r="K42" s="81">
        <v>5</v>
      </c>
      <c r="L42" s="83">
        <v>0</v>
      </c>
      <c r="M42" s="81">
        <v>1</v>
      </c>
      <c r="N42" s="83">
        <f t="shared" si="2"/>
        <v>0</v>
      </c>
      <c r="O42" s="84">
        <v>0</v>
      </c>
      <c r="P42" s="84">
        <v>0</v>
      </c>
      <c r="Q42" s="84">
        <v>0.12</v>
      </c>
      <c r="R42" s="74" t="s">
        <v>560</v>
      </c>
      <c r="S42" s="74"/>
      <c r="T42" s="74"/>
      <c r="U42" s="74"/>
    </row>
    <row r="43" spans="1:21" ht="27.75" customHeight="1">
      <c r="A43" s="73" t="s">
        <v>548</v>
      </c>
      <c r="B43" s="74"/>
      <c r="C43" s="75" t="s">
        <v>554</v>
      </c>
      <c r="D43" s="76" t="s">
        <v>555</v>
      </c>
      <c r="E43" s="77">
        <v>37</v>
      </c>
      <c r="F43" s="78" t="s">
        <v>556</v>
      </c>
      <c r="G43" s="74" t="s">
        <v>64</v>
      </c>
      <c r="H43" s="74" t="s">
        <v>645</v>
      </c>
      <c r="I43" s="79" t="s">
        <v>646</v>
      </c>
      <c r="J43" s="80" t="s">
        <v>642</v>
      </c>
      <c r="K43" s="81">
        <v>5</v>
      </c>
      <c r="L43" s="83">
        <v>0</v>
      </c>
      <c r="M43" s="81">
        <v>1</v>
      </c>
      <c r="N43" s="83">
        <f t="shared" si="2"/>
        <v>0</v>
      </c>
      <c r="O43" s="84">
        <v>0</v>
      </c>
      <c r="P43" s="84">
        <v>0</v>
      </c>
      <c r="Q43" s="84">
        <v>1.8</v>
      </c>
      <c r="R43" s="74" t="s">
        <v>560</v>
      </c>
      <c r="S43" s="74"/>
      <c r="T43" s="74"/>
      <c r="U43" s="74"/>
    </row>
    <row r="44" spans="1:21" ht="17.25" customHeight="1">
      <c r="A44" s="73" t="s">
        <v>548</v>
      </c>
      <c r="B44" s="74"/>
      <c r="C44" s="75" t="s">
        <v>554</v>
      </c>
      <c r="D44" s="76" t="s">
        <v>555</v>
      </c>
      <c r="E44" s="77">
        <v>38</v>
      </c>
      <c r="F44" s="78" t="s">
        <v>556</v>
      </c>
      <c r="G44" s="74" t="s">
        <v>64</v>
      </c>
      <c r="H44" s="74" t="s">
        <v>647</v>
      </c>
      <c r="I44" s="79" t="s">
        <v>648</v>
      </c>
      <c r="J44" s="80" t="s">
        <v>642</v>
      </c>
      <c r="K44" s="81">
        <v>5</v>
      </c>
      <c r="L44" s="83">
        <v>0</v>
      </c>
      <c r="M44" s="81">
        <v>1</v>
      </c>
      <c r="N44" s="83">
        <f t="shared" si="2"/>
        <v>0</v>
      </c>
      <c r="O44" s="84">
        <v>0</v>
      </c>
      <c r="P44" s="84">
        <v>0</v>
      </c>
      <c r="Q44" s="84">
        <v>0.72</v>
      </c>
      <c r="R44" s="74" t="s">
        <v>560</v>
      </c>
      <c r="S44" s="74"/>
      <c r="T44" s="74"/>
      <c r="U44" s="74"/>
    </row>
    <row r="45" spans="1:21" ht="17.25" customHeight="1">
      <c r="A45" s="73" t="s">
        <v>548</v>
      </c>
      <c r="B45" s="74"/>
      <c r="C45" s="75" t="s">
        <v>554</v>
      </c>
      <c r="D45" s="76" t="s">
        <v>555</v>
      </c>
      <c r="E45" s="77">
        <v>39</v>
      </c>
      <c r="F45" s="78" t="s">
        <v>556</v>
      </c>
      <c r="G45" s="74" t="s">
        <v>64</v>
      </c>
      <c r="H45" s="74" t="s">
        <v>649</v>
      </c>
      <c r="I45" s="79" t="s">
        <v>650</v>
      </c>
      <c r="J45" s="80" t="s">
        <v>559</v>
      </c>
      <c r="K45" s="81">
        <v>5</v>
      </c>
      <c r="L45" s="83">
        <v>0</v>
      </c>
      <c r="M45" s="81">
        <v>1</v>
      </c>
      <c r="N45" s="83">
        <f t="shared" si="2"/>
        <v>0</v>
      </c>
      <c r="O45" s="84">
        <v>0</v>
      </c>
      <c r="P45" s="84">
        <v>0</v>
      </c>
      <c r="Q45" s="84">
        <v>0.51</v>
      </c>
      <c r="R45" s="74" t="s">
        <v>560</v>
      </c>
      <c r="S45" s="74"/>
      <c r="T45" s="74"/>
      <c r="U45" s="74"/>
    </row>
    <row r="46" spans="1:21" ht="27.75" customHeight="1">
      <c r="A46" s="73" t="s">
        <v>548</v>
      </c>
      <c r="B46" s="74"/>
      <c r="C46" s="75" t="s">
        <v>554</v>
      </c>
      <c r="D46" s="76" t="s">
        <v>555</v>
      </c>
      <c r="E46" s="77">
        <v>40</v>
      </c>
      <c r="F46" s="78" t="s">
        <v>556</v>
      </c>
      <c r="G46" s="74" t="s">
        <v>64</v>
      </c>
      <c r="H46" s="74" t="s">
        <v>651</v>
      </c>
      <c r="I46" s="79" t="s">
        <v>652</v>
      </c>
      <c r="J46" s="80" t="s">
        <v>559</v>
      </c>
      <c r="K46" s="81">
        <v>1</v>
      </c>
      <c r="L46" s="83">
        <v>0</v>
      </c>
      <c r="M46" s="81">
        <v>1</v>
      </c>
      <c r="N46" s="83">
        <f t="shared" si="2"/>
        <v>0</v>
      </c>
      <c r="O46" s="84">
        <v>0</v>
      </c>
      <c r="P46" s="84">
        <v>0</v>
      </c>
      <c r="Q46" s="84">
        <v>0.13</v>
      </c>
      <c r="R46" s="74" t="s">
        <v>560</v>
      </c>
      <c r="S46" s="74"/>
      <c r="T46" s="74"/>
      <c r="U46" s="74"/>
    </row>
    <row r="47" spans="1:21" ht="17.25" customHeight="1">
      <c r="A47" s="73" t="s">
        <v>548</v>
      </c>
      <c r="B47" s="74"/>
      <c r="C47" s="75" t="s">
        <v>554</v>
      </c>
      <c r="D47" s="76" t="s">
        <v>555</v>
      </c>
      <c r="E47" s="77">
        <v>41</v>
      </c>
      <c r="F47" s="78" t="s">
        <v>556</v>
      </c>
      <c r="G47" s="74" t="s">
        <v>64</v>
      </c>
      <c r="H47" s="74" t="s">
        <v>653</v>
      </c>
      <c r="I47" s="79" t="s">
        <v>654</v>
      </c>
      <c r="J47" s="80" t="s">
        <v>559</v>
      </c>
      <c r="K47" s="81">
        <v>5</v>
      </c>
      <c r="L47" s="83">
        <v>0</v>
      </c>
      <c r="M47" s="81">
        <v>1</v>
      </c>
      <c r="N47" s="83">
        <f t="shared" si="2"/>
        <v>0</v>
      </c>
      <c r="O47" s="84">
        <v>0</v>
      </c>
      <c r="P47" s="84">
        <v>0</v>
      </c>
      <c r="Q47" s="84">
        <v>0.9</v>
      </c>
      <c r="R47" s="74" t="s">
        <v>560</v>
      </c>
      <c r="S47" s="74"/>
      <c r="T47" s="74"/>
      <c r="U47" s="74"/>
    </row>
    <row r="48" spans="1:21" ht="17.25" customHeight="1">
      <c r="A48" s="62" t="s">
        <v>548</v>
      </c>
      <c r="B48" s="63"/>
      <c r="C48" s="64" t="s">
        <v>551</v>
      </c>
      <c r="D48" s="65"/>
      <c r="E48" s="66">
        <v>0</v>
      </c>
      <c r="F48" s="65" t="s">
        <v>549</v>
      </c>
      <c r="G48" s="63"/>
      <c r="H48" s="63" t="s">
        <v>655</v>
      </c>
      <c r="I48" s="67" t="s">
        <v>656</v>
      </c>
      <c r="J48" s="68"/>
      <c r="K48" s="69"/>
      <c r="L48" s="70"/>
      <c r="M48" s="71"/>
      <c r="N48" s="70">
        <v>0</v>
      </c>
      <c r="O48" s="71">
        <v>0</v>
      </c>
      <c r="P48" s="71">
        <v>0</v>
      </c>
      <c r="Q48" s="71">
        <v>4</v>
      </c>
      <c r="R48" s="63"/>
      <c r="S48" s="63"/>
      <c r="T48" s="63"/>
      <c r="U48" s="64"/>
    </row>
    <row r="49" spans="1:21" ht="17.25" customHeight="1">
      <c r="A49" s="73" t="s">
        <v>548</v>
      </c>
      <c r="B49" s="74"/>
      <c r="C49" s="75" t="s">
        <v>554</v>
      </c>
      <c r="D49" s="76" t="s">
        <v>555</v>
      </c>
      <c r="E49" s="77">
        <v>42</v>
      </c>
      <c r="F49" s="78" t="s">
        <v>556</v>
      </c>
      <c r="G49" s="74" t="s">
        <v>655</v>
      </c>
      <c r="H49" s="74" t="s">
        <v>657</v>
      </c>
      <c r="I49" s="79" t="s">
        <v>658</v>
      </c>
      <c r="J49" s="80" t="s">
        <v>659</v>
      </c>
      <c r="K49" s="81">
        <v>4</v>
      </c>
      <c r="L49" s="83">
        <v>0</v>
      </c>
      <c r="M49" s="81">
        <v>1</v>
      </c>
      <c r="N49" s="83">
        <f>K49*L49</f>
        <v>0</v>
      </c>
      <c r="O49" s="84">
        <v>0</v>
      </c>
      <c r="P49" s="84">
        <v>0</v>
      </c>
      <c r="Q49" s="84">
        <v>4</v>
      </c>
      <c r="R49" s="74" t="s">
        <v>560</v>
      </c>
      <c r="S49" s="74"/>
      <c r="T49" s="74"/>
      <c r="U49" s="74"/>
    </row>
    <row r="50" spans="1:21" ht="17.25" customHeight="1">
      <c r="A50" s="62" t="s">
        <v>548</v>
      </c>
      <c r="B50" s="63"/>
      <c r="C50" s="64" t="s">
        <v>551</v>
      </c>
      <c r="D50" s="65"/>
      <c r="E50" s="66">
        <v>0</v>
      </c>
      <c r="F50" s="65" t="s">
        <v>549</v>
      </c>
      <c r="G50" s="63"/>
      <c r="H50" s="63" t="s">
        <v>660</v>
      </c>
      <c r="I50" s="67" t="s">
        <v>661</v>
      </c>
      <c r="J50" s="68"/>
      <c r="K50" s="69"/>
      <c r="L50" s="70"/>
      <c r="M50" s="71"/>
      <c r="N50" s="70">
        <f>SUM(N51:N56)</f>
        <v>0</v>
      </c>
      <c r="O50" s="71">
        <v>0</v>
      </c>
      <c r="P50" s="71">
        <v>0</v>
      </c>
      <c r="Q50" s="71">
        <v>0</v>
      </c>
      <c r="R50" s="63"/>
      <c r="S50" s="63"/>
      <c r="T50" s="63"/>
      <c r="U50" s="64"/>
    </row>
    <row r="51" spans="1:21" ht="17.25" customHeight="1">
      <c r="A51" s="73" t="s">
        <v>548</v>
      </c>
      <c r="B51" s="74"/>
      <c r="C51" s="75" t="s">
        <v>554</v>
      </c>
      <c r="D51" s="87" t="s">
        <v>662</v>
      </c>
      <c r="E51" s="77">
        <v>43</v>
      </c>
      <c r="F51" s="78" t="s">
        <v>556</v>
      </c>
      <c r="G51" s="74" t="s">
        <v>631</v>
      </c>
      <c r="H51" s="74" t="s">
        <v>663</v>
      </c>
      <c r="I51" s="79" t="s">
        <v>664</v>
      </c>
      <c r="J51" s="80" t="s">
        <v>659</v>
      </c>
      <c r="K51" s="81">
        <v>8</v>
      </c>
      <c r="L51" s="83">
        <v>0</v>
      </c>
      <c r="M51" s="81">
        <v>1</v>
      </c>
      <c r="N51" s="83">
        <f t="shared" ref="N51:N56" si="3">K51*L51</f>
        <v>0</v>
      </c>
      <c r="O51" s="84">
        <v>0</v>
      </c>
      <c r="P51" s="84">
        <v>0</v>
      </c>
      <c r="Q51" s="84">
        <v>0</v>
      </c>
      <c r="R51" s="74" t="s">
        <v>560</v>
      </c>
      <c r="S51" s="74"/>
      <c r="T51" s="74"/>
      <c r="U51" s="74"/>
    </row>
    <row r="52" spans="1:21" ht="17.25" customHeight="1">
      <c r="A52" s="73" t="s">
        <v>548</v>
      </c>
      <c r="B52" s="74"/>
      <c r="C52" s="75" t="s">
        <v>554</v>
      </c>
      <c r="D52" s="87" t="s">
        <v>662</v>
      </c>
      <c r="E52" s="77">
        <v>44</v>
      </c>
      <c r="F52" s="78" t="s">
        <v>556</v>
      </c>
      <c r="G52" s="74" t="s">
        <v>631</v>
      </c>
      <c r="H52" s="74" t="s">
        <v>665</v>
      </c>
      <c r="I52" s="79" t="s">
        <v>666</v>
      </c>
      <c r="J52" s="80" t="s">
        <v>659</v>
      </c>
      <c r="K52" s="81">
        <v>8</v>
      </c>
      <c r="L52" s="83">
        <v>0</v>
      </c>
      <c r="M52" s="81">
        <v>1</v>
      </c>
      <c r="N52" s="83">
        <f t="shared" si="3"/>
        <v>0</v>
      </c>
      <c r="O52" s="84">
        <v>0</v>
      </c>
      <c r="P52" s="84">
        <v>0</v>
      </c>
      <c r="Q52" s="84">
        <v>0</v>
      </c>
      <c r="R52" s="74" t="s">
        <v>560</v>
      </c>
      <c r="S52" s="74"/>
      <c r="T52" s="74"/>
      <c r="U52" s="74"/>
    </row>
    <row r="53" spans="1:21" ht="17.25" customHeight="1">
      <c r="A53" s="73" t="s">
        <v>548</v>
      </c>
      <c r="B53" s="74"/>
      <c r="C53" s="75" t="s">
        <v>554</v>
      </c>
      <c r="D53" s="87" t="s">
        <v>662</v>
      </c>
      <c r="E53" s="77">
        <v>45</v>
      </c>
      <c r="F53" s="78" t="s">
        <v>556</v>
      </c>
      <c r="G53" s="74" t="s">
        <v>631</v>
      </c>
      <c r="H53" s="74" t="s">
        <v>667</v>
      </c>
      <c r="I53" s="79" t="s">
        <v>668</v>
      </c>
      <c r="J53" s="80" t="s">
        <v>659</v>
      </c>
      <c r="K53" s="81">
        <v>2</v>
      </c>
      <c r="L53" s="83">
        <v>0</v>
      </c>
      <c r="M53" s="81">
        <v>1</v>
      </c>
      <c r="N53" s="83">
        <f t="shared" si="3"/>
        <v>0</v>
      </c>
      <c r="O53" s="84">
        <v>0</v>
      </c>
      <c r="P53" s="84">
        <v>0</v>
      </c>
      <c r="Q53" s="84">
        <v>0</v>
      </c>
      <c r="R53" s="74" t="s">
        <v>560</v>
      </c>
      <c r="S53" s="74"/>
      <c r="T53" s="74"/>
      <c r="U53" s="74"/>
    </row>
    <row r="54" spans="1:21" ht="17.25" customHeight="1">
      <c r="A54" s="73" t="s">
        <v>548</v>
      </c>
      <c r="B54" s="74"/>
      <c r="C54" s="75" t="s">
        <v>554</v>
      </c>
      <c r="D54" s="87" t="s">
        <v>662</v>
      </c>
      <c r="E54" s="77">
        <v>46</v>
      </c>
      <c r="F54" s="78" t="s">
        <v>556</v>
      </c>
      <c r="G54" s="74" t="s">
        <v>631</v>
      </c>
      <c r="H54" s="74" t="s">
        <v>669</v>
      </c>
      <c r="I54" s="79" t="s">
        <v>670</v>
      </c>
      <c r="J54" s="80" t="s">
        <v>671</v>
      </c>
      <c r="K54" s="81">
        <v>1</v>
      </c>
      <c r="L54" s="83">
        <v>0</v>
      </c>
      <c r="M54" s="81">
        <v>1</v>
      </c>
      <c r="N54" s="83">
        <f t="shared" si="3"/>
        <v>0</v>
      </c>
      <c r="O54" s="84">
        <v>0</v>
      </c>
      <c r="P54" s="84">
        <v>0</v>
      </c>
      <c r="Q54" s="84">
        <v>0</v>
      </c>
      <c r="R54" s="74" t="s">
        <v>560</v>
      </c>
      <c r="S54" s="74"/>
      <c r="T54" s="74"/>
      <c r="U54" s="74"/>
    </row>
    <row r="55" spans="1:21" ht="17.25" customHeight="1">
      <c r="A55" s="73" t="s">
        <v>548</v>
      </c>
      <c r="B55" s="74"/>
      <c r="C55" s="75" t="s">
        <v>554</v>
      </c>
      <c r="D55" s="87" t="s">
        <v>662</v>
      </c>
      <c r="E55" s="77">
        <v>47</v>
      </c>
      <c r="F55" s="78" t="s">
        <v>556</v>
      </c>
      <c r="G55" s="74" t="s">
        <v>631</v>
      </c>
      <c r="H55" s="74" t="s">
        <v>672</v>
      </c>
      <c r="I55" s="79" t="s">
        <v>673</v>
      </c>
      <c r="J55" s="80" t="s">
        <v>671</v>
      </c>
      <c r="K55" s="81">
        <v>1</v>
      </c>
      <c r="L55" s="83">
        <v>0</v>
      </c>
      <c r="M55" s="81">
        <v>1</v>
      </c>
      <c r="N55" s="83">
        <f t="shared" si="3"/>
        <v>0</v>
      </c>
      <c r="O55" s="84">
        <v>0</v>
      </c>
      <c r="P55" s="84">
        <v>0</v>
      </c>
      <c r="Q55" s="84">
        <v>0</v>
      </c>
      <c r="R55" s="74" t="s">
        <v>560</v>
      </c>
      <c r="S55" s="74"/>
      <c r="T55" s="74"/>
      <c r="U55" s="74"/>
    </row>
    <row r="56" spans="1:21" ht="17.25" customHeight="1">
      <c r="A56" s="73" t="s">
        <v>548</v>
      </c>
      <c r="B56" s="74"/>
      <c r="C56" s="75" t="s">
        <v>554</v>
      </c>
      <c r="D56" s="87" t="s">
        <v>662</v>
      </c>
      <c r="E56" s="77">
        <v>48</v>
      </c>
      <c r="F56" s="78" t="s">
        <v>556</v>
      </c>
      <c r="G56" s="74" t="s">
        <v>631</v>
      </c>
      <c r="H56" s="74" t="s">
        <v>674</v>
      </c>
      <c r="I56" s="79" t="s">
        <v>675</v>
      </c>
      <c r="J56" s="80" t="s">
        <v>671</v>
      </c>
      <c r="K56" s="81">
        <v>1</v>
      </c>
      <c r="L56" s="83">
        <v>0</v>
      </c>
      <c r="M56" s="81">
        <v>1</v>
      </c>
      <c r="N56" s="83">
        <f t="shared" si="3"/>
        <v>0</v>
      </c>
      <c r="O56" s="84">
        <v>0</v>
      </c>
      <c r="P56" s="84">
        <v>0</v>
      </c>
      <c r="Q56" s="84">
        <v>0</v>
      </c>
      <c r="R56" s="74" t="s">
        <v>560</v>
      </c>
      <c r="S56" s="74"/>
      <c r="T56" s="74"/>
      <c r="U56" s="74"/>
    </row>
    <row r="57" spans="1:21" ht="17.25" customHeight="1">
      <c r="A57" s="62" t="s">
        <v>548</v>
      </c>
      <c r="B57" s="63"/>
      <c r="C57" s="64" t="s">
        <v>551</v>
      </c>
      <c r="D57" s="65"/>
      <c r="E57" s="66">
        <v>0</v>
      </c>
      <c r="F57" s="65" t="s">
        <v>549</v>
      </c>
      <c r="G57" s="63"/>
      <c r="H57" s="63" t="s">
        <v>676</v>
      </c>
      <c r="I57" s="67" t="s">
        <v>677</v>
      </c>
      <c r="J57" s="68"/>
      <c r="K57" s="69"/>
      <c r="L57" s="70"/>
      <c r="M57" s="71"/>
      <c r="N57" s="70">
        <f>N58</f>
        <v>0</v>
      </c>
      <c r="O57" s="71">
        <v>0</v>
      </c>
      <c r="P57" s="71">
        <v>0</v>
      </c>
      <c r="Q57" s="71">
        <v>0</v>
      </c>
      <c r="R57" s="63"/>
      <c r="S57" s="63"/>
      <c r="T57" s="63"/>
      <c r="U57" s="64"/>
    </row>
    <row r="58" spans="1:21" ht="17.25" customHeight="1">
      <c r="A58" s="73" t="s">
        <v>548</v>
      </c>
      <c r="B58" s="74"/>
      <c r="C58" s="75" t="s">
        <v>554</v>
      </c>
      <c r="D58" s="87" t="s">
        <v>662</v>
      </c>
      <c r="E58" s="77">
        <v>49</v>
      </c>
      <c r="F58" s="78" t="s">
        <v>556</v>
      </c>
      <c r="G58" s="74" t="s">
        <v>631</v>
      </c>
      <c r="H58" s="74" t="s">
        <v>678</v>
      </c>
      <c r="I58" s="79" t="s">
        <v>679</v>
      </c>
      <c r="J58" s="80" t="s">
        <v>671</v>
      </c>
      <c r="K58" s="81">
        <v>1</v>
      </c>
      <c r="L58" s="83">
        <v>0</v>
      </c>
      <c r="M58" s="81">
        <v>1</v>
      </c>
      <c r="N58" s="83">
        <f>K58*L58</f>
        <v>0</v>
      </c>
      <c r="O58" s="84">
        <v>0</v>
      </c>
      <c r="P58" s="84">
        <v>0</v>
      </c>
      <c r="Q58" s="84">
        <v>0</v>
      </c>
      <c r="R58" s="74" t="s">
        <v>560</v>
      </c>
      <c r="S58" s="74"/>
      <c r="T58" s="74"/>
      <c r="U58" s="74"/>
    </row>
    <row r="59" spans="1:21" ht="17.25" customHeight="1">
      <c r="A59" s="62" t="s">
        <v>548</v>
      </c>
      <c r="B59" s="63"/>
      <c r="C59" s="64" t="s">
        <v>551</v>
      </c>
      <c r="D59" s="65"/>
      <c r="E59" s="66">
        <v>0</v>
      </c>
      <c r="F59" s="65" t="s">
        <v>549</v>
      </c>
      <c r="G59" s="63"/>
      <c r="H59" s="63" t="s">
        <v>680</v>
      </c>
      <c r="I59" s="67" t="s">
        <v>681</v>
      </c>
      <c r="J59" s="68"/>
      <c r="K59" s="69"/>
      <c r="L59" s="70"/>
      <c r="M59" s="71"/>
      <c r="N59" s="70">
        <f>N60</f>
        <v>0</v>
      </c>
      <c r="O59" s="71">
        <v>0</v>
      </c>
      <c r="P59" s="71">
        <v>0</v>
      </c>
      <c r="Q59" s="71">
        <v>0</v>
      </c>
      <c r="R59" s="63"/>
      <c r="S59" s="63"/>
      <c r="T59" s="63"/>
      <c r="U59" s="64"/>
    </row>
    <row r="60" spans="1:21" ht="17.25" customHeight="1">
      <c r="A60" s="73" t="s">
        <v>548</v>
      </c>
      <c r="B60" s="74"/>
      <c r="C60" s="75" t="s">
        <v>554</v>
      </c>
      <c r="D60" s="87" t="s">
        <v>662</v>
      </c>
      <c r="E60" s="77">
        <v>50</v>
      </c>
      <c r="F60" s="78" t="s">
        <v>556</v>
      </c>
      <c r="G60" s="74" t="s">
        <v>631</v>
      </c>
      <c r="H60" s="74" t="s">
        <v>682</v>
      </c>
      <c r="I60" s="79" t="s">
        <v>683</v>
      </c>
      <c r="J60" s="80" t="s">
        <v>671</v>
      </c>
      <c r="K60" s="81">
        <v>1</v>
      </c>
      <c r="L60" s="83">
        <v>0</v>
      </c>
      <c r="M60" s="81">
        <v>1</v>
      </c>
      <c r="N60" s="83">
        <f>K60*L60</f>
        <v>0</v>
      </c>
      <c r="O60" s="84">
        <v>0</v>
      </c>
      <c r="P60" s="84">
        <v>0</v>
      </c>
      <c r="Q60" s="84">
        <v>0</v>
      </c>
      <c r="R60" s="74" t="s">
        <v>560</v>
      </c>
      <c r="S60" s="74"/>
      <c r="T60" s="74"/>
      <c r="U60" s="74"/>
    </row>
    <row r="61" spans="1:21">
      <c r="I61" s="88" t="s">
        <v>684</v>
      </c>
      <c r="N61" s="89">
        <f>N2+N37</f>
        <v>0</v>
      </c>
    </row>
  </sheetData>
  <sheetProtection selectLockedCells="1" selectUnlockedCells="1"/>
  <pageMargins left="0.2" right="0.2" top="0.2" bottom="0.2" header="0.51180555555555551" footer="0.51180555555555551"/>
  <pageSetup paperSize="9" scale="73" firstPageNumber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0 - SO010UN_cm">
    <tabColor theme="8" tint="0.39997558519241921"/>
    <pageSetUpPr fitToPage="1"/>
  </sheetPr>
  <dimension ref="A1:S90"/>
  <sheetViews>
    <sheetView workbookViewId="0">
      <selection sqref="A1:A2"/>
    </sheetView>
  </sheetViews>
  <sheetFormatPr defaultRowHeight="12.75"/>
  <cols>
    <col min="1" max="1" width="4.7109375"/>
    <col min="2" max="2" width="5.7109375"/>
    <col min="3" max="3" width="11.7109375"/>
    <col min="4" max="4" width="5.7109375"/>
    <col min="5" max="5" width="80.7109375"/>
    <col min="6" max="6" width="20.7109375"/>
    <col min="7" max="11" width="22.7109375"/>
    <col min="12" max="12" width="4.7109375"/>
    <col min="17" max="19" width="0" hidden="1"/>
  </cols>
  <sheetData>
    <row r="1" spans="1:19">
      <c r="A1" s="276"/>
      <c r="B1" s="3"/>
      <c r="C1" s="3"/>
      <c r="D1" s="280" t="s">
        <v>0</v>
      </c>
      <c r="E1" s="276"/>
      <c r="F1" s="3"/>
      <c r="G1" s="3"/>
      <c r="H1" s="3"/>
      <c r="I1" s="3"/>
      <c r="J1" s="3"/>
      <c r="K1" s="3"/>
      <c r="L1" s="3"/>
      <c r="M1" s="4"/>
      <c r="N1" s="4"/>
      <c r="O1" s="4"/>
      <c r="P1" s="4"/>
    </row>
    <row r="2" spans="1:19">
      <c r="A2" s="276"/>
      <c r="B2" s="3"/>
      <c r="C2" s="3"/>
      <c r="D2" s="276"/>
      <c r="E2" s="276"/>
      <c r="F2" s="3"/>
      <c r="G2" s="3"/>
      <c r="H2" s="3"/>
      <c r="I2" s="3"/>
      <c r="J2" s="3"/>
      <c r="K2" s="3"/>
      <c r="L2" s="3"/>
      <c r="M2" s="4"/>
      <c r="N2" s="4"/>
      <c r="O2" s="4"/>
      <c r="P2" s="4"/>
    </row>
    <row r="3" spans="1:19" ht="24" customHeight="1">
      <c r="A3" s="278" t="s">
        <v>1</v>
      </c>
      <c r="B3" s="276"/>
      <c r="C3" s="276"/>
      <c r="D3" s="276"/>
      <c r="E3" s="276"/>
      <c r="F3" s="276"/>
      <c r="G3" s="3"/>
      <c r="H3" s="3"/>
      <c r="I3" s="3"/>
      <c r="J3" s="3"/>
      <c r="K3" s="3"/>
      <c r="L3" s="3"/>
      <c r="M3" s="4"/>
      <c r="N3" s="4"/>
      <c r="O3" s="4"/>
      <c r="P3" s="4"/>
    </row>
    <row r="4" spans="1:19" ht="6" customHeight="1">
      <c r="A4" s="5"/>
      <c r="B4" s="289" t="s">
        <v>2</v>
      </c>
      <c r="C4" s="290"/>
      <c r="D4" s="5"/>
      <c r="E4" s="5"/>
      <c r="F4" s="5"/>
      <c r="G4" s="5"/>
      <c r="H4" s="5"/>
      <c r="I4" s="5"/>
      <c r="J4" s="5"/>
      <c r="K4" s="5"/>
      <c r="L4" s="5"/>
      <c r="M4" s="4"/>
      <c r="N4" s="4"/>
      <c r="O4" s="4"/>
      <c r="P4" s="4"/>
    </row>
    <row r="5" spans="1:19" ht="6" customHeight="1">
      <c r="A5" s="6"/>
      <c r="B5" s="273"/>
      <c r="C5" s="273"/>
      <c r="D5" s="7"/>
      <c r="E5" s="7"/>
      <c r="F5" s="7"/>
      <c r="G5" s="7"/>
      <c r="H5" s="7"/>
      <c r="I5" s="7"/>
      <c r="J5" s="7"/>
      <c r="K5" s="7"/>
      <c r="L5" s="8"/>
      <c r="M5" s="4"/>
      <c r="N5" s="4"/>
      <c r="O5" s="4"/>
      <c r="P5" s="4"/>
    </row>
    <row r="6" spans="1:19" ht="33.950000000000003" customHeight="1">
      <c r="A6" s="9"/>
      <c r="B6" s="297" t="s">
        <v>3</v>
      </c>
      <c r="C6" s="276"/>
      <c r="D6" s="276"/>
      <c r="E6" s="276"/>
      <c r="F6" s="276"/>
      <c r="G6" s="276"/>
      <c r="H6" s="276"/>
      <c r="I6" s="276"/>
      <c r="J6" s="3"/>
      <c r="K6" s="3"/>
      <c r="L6" s="10"/>
      <c r="M6" s="4"/>
      <c r="N6" s="4"/>
      <c r="O6" s="4"/>
      <c r="P6" s="4"/>
    </row>
    <row r="7" spans="1:19">
      <c r="A7" s="11"/>
      <c r="B7" s="5"/>
      <c r="C7" s="5"/>
      <c r="D7" s="5"/>
      <c r="E7" s="5"/>
      <c r="F7" s="5"/>
      <c r="G7" s="5"/>
      <c r="H7" s="5"/>
      <c r="I7" s="5"/>
      <c r="J7" s="5"/>
      <c r="K7" s="5"/>
      <c r="L7" s="12"/>
      <c r="M7" s="4"/>
      <c r="N7" s="4"/>
      <c r="O7" s="4"/>
      <c r="P7" s="4"/>
    </row>
    <row r="8" spans="1:19" ht="14.1" customHeight="1">
      <c r="A8" s="5"/>
      <c r="B8" s="293" t="s">
        <v>4</v>
      </c>
      <c r="C8" s="290"/>
      <c r="D8" s="5"/>
      <c r="E8" s="5"/>
      <c r="F8" s="5"/>
      <c r="G8" s="5"/>
      <c r="H8" s="5"/>
      <c r="I8" s="5"/>
      <c r="J8" s="5"/>
      <c r="K8" s="5"/>
      <c r="L8" s="5"/>
      <c r="M8" s="4"/>
      <c r="N8" s="4"/>
      <c r="O8" s="4"/>
      <c r="P8" s="4"/>
    </row>
    <row r="9" spans="1:19" ht="8.1" customHeight="1">
      <c r="A9" s="6"/>
      <c r="B9" s="273"/>
      <c r="C9" s="273"/>
      <c r="D9" s="7"/>
      <c r="E9" s="7"/>
      <c r="F9" s="7"/>
      <c r="G9" s="7"/>
      <c r="H9" s="7"/>
      <c r="I9" s="7"/>
      <c r="J9" s="7"/>
      <c r="K9" s="7"/>
      <c r="L9" s="8"/>
      <c r="M9" s="4"/>
      <c r="N9" s="4"/>
      <c r="O9" s="4"/>
      <c r="P9" s="4"/>
    </row>
    <row r="10" spans="1:19">
      <c r="A10" s="275" t="s">
        <v>5</v>
      </c>
      <c r="B10" s="276"/>
      <c r="C10" s="294"/>
      <c r="D10" s="276"/>
      <c r="E10" s="3"/>
      <c r="F10" s="14"/>
      <c r="G10" s="3"/>
      <c r="H10" s="15" t="s">
        <v>88</v>
      </c>
      <c r="I10" s="16">
        <f>G43+G69+G89</f>
        <v>0</v>
      </c>
      <c r="J10" s="3"/>
      <c r="K10" s="3"/>
      <c r="L10" s="10"/>
      <c r="M10" s="4"/>
      <c r="N10" s="4"/>
      <c r="O10" s="4"/>
      <c r="P10" s="4"/>
    </row>
    <row r="11" spans="1:19" ht="15.95" customHeight="1">
      <c r="A11" s="277" t="s">
        <v>6</v>
      </c>
      <c r="B11" s="276"/>
      <c r="C11" s="276"/>
      <c r="D11" s="276"/>
      <c r="E11" s="276"/>
      <c r="F11" s="295"/>
      <c r="G11" s="276"/>
      <c r="H11" s="15" t="s">
        <v>89</v>
      </c>
      <c r="I11" s="16">
        <f>ROUND(I10*(1+Q11),2)</f>
        <v>0</v>
      </c>
      <c r="J11" s="3"/>
      <c r="K11" s="3"/>
      <c r="L11" s="10"/>
      <c r="M11" s="4"/>
      <c r="N11" s="4"/>
      <c r="O11" s="4"/>
      <c r="P11" s="4"/>
      <c r="Q11" s="1">
        <f>IF(SUM(J20:J22)&gt;0,ROUND(SUM(S20:S22)/SUM(J20:J22)-1,8),0)</f>
        <v>0</v>
      </c>
      <c r="R11" s="1">
        <f>AVERAGE(I43,I69,I89)</f>
        <v>0.21</v>
      </c>
      <c r="S11" s="1">
        <f>I10*(1+Q11)</f>
        <v>0</v>
      </c>
    </row>
    <row r="12" spans="1:19">
      <c r="A12" s="275" t="s">
        <v>7</v>
      </c>
      <c r="B12" s="276"/>
      <c r="C12" s="294"/>
      <c r="D12" s="276"/>
      <c r="E12" s="276"/>
      <c r="F12" s="296"/>
      <c r="G12" s="276"/>
      <c r="H12" s="3"/>
      <c r="I12" s="3"/>
      <c r="J12" s="3"/>
      <c r="K12" s="3"/>
      <c r="L12" s="10"/>
      <c r="M12" s="4"/>
      <c r="N12" s="4"/>
      <c r="O12" s="4"/>
      <c r="P12" s="4"/>
    </row>
    <row r="13" spans="1:19" ht="15.95" customHeight="1">
      <c r="A13" s="277">
        <f>Souhrn!A13</f>
        <v>0</v>
      </c>
      <c r="B13" s="276"/>
      <c r="C13" s="276"/>
      <c r="D13" s="276"/>
      <c r="E13" s="276"/>
      <c r="F13" s="295"/>
      <c r="G13" s="276"/>
      <c r="H13" s="15" t="s">
        <v>8</v>
      </c>
      <c r="I13" s="13">
        <f>Souhrn!E13</f>
        <v>0</v>
      </c>
      <c r="J13" s="3"/>
      <c r="K13" s="3"/>
      <c r="L13" s="10"/>
      <c r="M13" s="4"/>
      <c r="N13" s="4"/>
      <c r="O13" s="4"/>
      <c r="P13" s="4"/>
    </row>
    <row r="14" spans="1:19">
      <c r="A14" s="9"/>
      <c r="B14" s="3"/>
      <c r="C14" s="3"/>
      <c r="D14" s="3"/>
      <c r="E14" s="3"/>
      <c r="F14" s="3"/>
      <c r="G14" s="3"/>
      <c r="H14" s="15" t="s">
        <v>9</v>
      </c>
      <c r="I14" s="13">
        <f>Souhrn!E14</f>
        <v>0</v>
      </c>
      <c r="J14" s="3"/>
      <c r="K14" s="3"/>
      <c r="L14" s="10"/>
      <c r="M14" s="4"/>
      <c r="N14" s="4"/>
      <c r="O14" s="4"/>
      <c r="P14" s="4"/>
    </row>
    <row r="15" spans="1:19" hidden="1">
      <c r="A15" s="9"/>
      <c r="B15" s="3"/>
      <c r="C15" s="3"/>
      <c r="D15" s="3"/>
      <c r="E15" s="3"/>
      <c r="F15" s="3"/>
      <c r="G15" s="3"/>
      <c r="H15" s="3"/>
      <c r="I15" s="3"/>
      <c r="J15" s="3"/>
      <c r="K15" s="3"/>
      <c r="L15" s="10"/>
      <c r="M15" s="4"/>
      <c r="N15" s="4"/>
      <c r="O15" s="4"/>
      <c r="P15" s="4"/>
    </row>
    <row r="16" spans="1:19" ht="9.9499999999999993" customHeight="1">
      <c r="A16" s="11"/>
      <c r="B16" s="5"/>
      <c r="C16" s="5"/>
      <c r="D16" s="5"/>
      <c r="E16" s="5"/>
      <c r="F16" s="5"/>
      <c r="G16" s="5"/>
      <c r="H16" s="5"/>
      <c r="I16" s="5"/>
      <c r="J16" s="5"/>
      <c r="K16" s="5"/>
      <c r="L16" s="12"/>
      <c r="M16" s="4"/>
      <c r="N16" s="4"/>
      <c r="O16" s="4"/>
      <c r="P16" s="4"/>
    </row>
    <row r="17" spans="1:19" ht="14.1" customHeight="1">
      <c r="A17" s="5"/>
      <c r="B17" s="289" t="s">
        <v>10</v>
      </c>
      <c r="C17" s="290"/>
      <c r="D17" s="5"/>
      <c r="E17" s="5"/>
      <c r="F17" s="5"/>
      <c r="G17" s="5"/>
      <c r="H17" s="5"/>
      <c r="I17" s="5"/>
      <c r="J17" s="5"/>
      <c r="K17" s="5"/>
      <c r="L17" s="5"/>
      <c r="M17" s="4"/>
      <c r="N17" s="4"/>
      <c r="O17" s="4"/>
      <c r="P17" s="4"/>
    </row>
    <row r="18" spans="1:19" ht="6" customHeight="1">
      <c r="A18" s="6"/>
      <c r="B18" s="273"/>
      <c r="C18" s="273"/>
      <c r="D18" s="7"/>
      <c r="E18" s="7"/>
      <c r="F18" s="7"/>
      <c r="G18" s="7"/>
      <c r="H18" s="7"/>
      <c r="I18" s="7"/>
      <c r="J18" s="7"/>
      <c r="K18" s="7"/>
      <c r="L18" s="8"/>
      <c r="M18" s="4"/>
      <c r="N18" s="4"/>
      <c r="O18" s="4"/>
      <c r="P18" s="4"/>
    </row>
    <row r="19" spans="1:19" ht="18" customHeight="1">
      <c r="A19" s="9"/>
      <c r="B19" s="291" t="s">
        <v>11</v>
      </c>
      <c r="C19" s="291"/>
      <c r="D19" s="291"/>
      <c r="E19" s="291" t="s">
        <v>12</v>
      </c>
      <c r="F19" s="292"/>
      <c r="G19" s="19"/>
      <c r="H19" s="19"/>
      <c r="I19" s="19"/>
      <c r="J19" s="19" t="s">
        <v>13</v>
      </c>
      <c r="K19" s="19" t="s">
        <v>14</v>
      </c>
      <c r="L19" s="10"/>
      <c r="M19" s="4"/>
      <c r="N19" s="4"/>
      <c r="O19" s="4"/>
      <c r="P19" s="4"/>
    </row>
    <row r="20" spans="1:19">
      <c r="A20" s="9"/>
      <c r="B20" s="287">
        <v>0</v>
      </c>
      <c r="C20" s="276"/>
      <c r="D20" s="276"/>
      <c r="E20" s="20" t="s">
        <v>43</v>
      </c>
      <c r="F20" s="3"/>
      <c r="G20" s="3"/>
      <c r="H20" s="3"/>
      <c r="I20" s="3"/>
      <c r="J20" s="21">
        <f>G43</f>
        <v>0</v>
      </c>
      <c r="K20" s="21">
        <f>K43</f>
        <v>0</v>
      </c>
      <c r="L20" s="10"/>
      <c r="M20" s="4"/>
      <c r="N20" s="4"/>
      <c r="O20" s="4"/>
      <c r="P20" s="4"/>
      <c r="S20" s="1">
        <f>S43</f>
        <v>0</v>
      </c>
    </row>
    <row r="21" spans="1:19">
      <c r="A21" s="9"/>
      <c r="B21" s="287">
        <v>1</v>
      </c>
      <c r="C21" s="276"/>
      <c r="D21" s="276"/>
      <c r="E21" s="20" t="s">
        <v>72</v>
      </c>
      <c r="F21" s="3"/>
      <c r="G21" s="3"/>
      <c r="H21" s="3"/>
      <c r="I21" s="3"/>
      <c r="J21" s="21">
        <f>G69</f>
        <v>0</v>
      </c>
      <c r="K21" s="21">
        <f>K69</f>
        <v>0</v>
      </c>
      <c r="L21" s="10"/>
      <c r="M21" s="4"/>
      <c r="N21" s="4"/>
      <c r="O21" s="4"/>
      <c r="P21" s="4"/>
      <c r="S21" s="1">
        <f>S69</f>
        <v>0</v>
      </c>
    </row>
    <row r="22" spans="1:19">
      <c r="A22" s="9"/>
      <c r="B22" s="287">
        <v>9</v>
      </c>
      <c r="C22" s="276"/>
      <c r="D22" s="276"/>
      <c r="E22" s="20" t="s">
        <v>87</v>
      </c>
      <c r="F22" s="3"/>
      <c r="G22" s="3"/>
      <c r="H22" s="3"/>
      <c r="I22" s="3"/>
      <c r="J22" s="21">
        <f>G89</f>
        <v>0</v>
      </c>
      <c r="K22" s="21">
        <f>K89</f>
        <v>0</v>
      </c>
      <c r="L22" s="10"/>
      <c r="M22" s="4"/>
      <c r="N22" s="4"/>
      <c r="O22" s="4"/>
      <c r="P22" s="4"/>
      <c r="S22" s="1">
        <f>S89</f>
        <v>0</v>
      </c>
    </row>
    <row r="23" spans="1:19">
      <c r="A23" s="11"/>
      <c r="B23" s="5"/>
      <c r="C23" s="5"/>
      <c r="D23" s="5"/>
      <c r="E23" s="5"/>
      <c r="F23" s="5"/>
      <c r="G23" s="5"/>
      <c r="H23" s="5"/>
      <c r="I23" s="5"/>
      <c r="J23" s="5"/>
      <c r="K23" s="5"/>
      <c r="L23" s="12"/>
      <c r="M23" s="4"/>
      <c r="N23" s="4"/>
      <c r="O23" s="4"/>
      <c r="P23" s="4"/>
    </row>
    <row r="24" spans="1:19" ht="14.1" customHeight="1">
      <c r="A24" s="5"/>
      <c r="B24" s="289" t="s">
        <v>15</v>
      </c>
      <c r="C24" s="290"/>
      <c r="D24" s="5"/>
      <c r="E24" s="5"/>
      <c r="F24" s="5"/>
      <c r="G24" s="5"/>
      <c r="H24" s="5"/>
      <c r="I24" s="5"/>
      <c r="J24" s="5"/>
      <c r="K24" s="5"/>
      <c r="L24" s="5"/>
      <c r="M24" s="4"/>
      <c r="N24" s="4"/>
      <c r="O24" s="4"/>
      <c r="P24" s="4"/>
    </row>
    <row r="25" spans="1:19" ht="18" customHeight="1">
      <c r="A25" s="6"/>
      <c r="B25" s="273"/>
      <c r="C25" s="273"/>
      <c r="D25" s="7"/>
      <c r="E25" s="7"/>
      <c r="F25" s="7"/>
      <c r="G25" s="7"/>
      <c r="H25" s="7"/>
      <c r="I25" s="7"/>
      <c r="J25" s="7"/>
      <c r="K25" s="7"/>
      <c r="L25" s="8"/>
      <c r="M25" s="4"/>
      <c r="N25" s="4"/>
      <c r="O25" s="4"/>
      <c r="P25" s="4"/>
    </row>
    <row r="26" spans="1:19" ht="18" customHeight="1">
      <c r="A26" s="9"/>
      <c r="B26" s="17" t="s">
        <v>16</v>
      </c>
      <c r="C26" s="17" t="s">
        <v>11</v>
      </c>
      <c r="D26" s="17" t="s">
        <v>17</v>
      </c>
      <c r="E26" s="17" t="s">
        <v>12</v>
      </c>
      <c r="F26" s="18" t="s">
        <v>18</v>
      </c>
      <c r="G26" s="19" t="s">
        <v>19</v>
      </c>
      <c r="H26" s="19" t="s">
        <v>20</v>
      </c>
      <c r="I26" s="19" t="s">
        <v>13</v>
      </c>
      <c r="J26" s="18" t="s">
        <v>21</v>
      </c>
      <c r="K26" s="19" t="s">
        <v>14</v>
      </c>
      <c r="L26" s="10"/>
      <c r="M26" s="4"/>
      <c r="N26" s="4"/>
      <c r="O26" s="4"/>
      <c r="P26" s="4"/>
    </row>
    <row r="27" spans="1:19" ht="39.950000000000003" customHeight="1">
      <c r="A27" s="9"/>
      <c r="B27" s="288" t="s">
        <v>42</v>
      </c>
      <c r="C27" s="276"/>
      <c r="D27" s="276"/>
      <c r="E27" s="276"/>
      <c r="F27" s="276"/>
      <c r="G27" s="276"/>
      <c r="H27" s="286"/>
      <c r="I27" s="276"/>
      <c r="J27" s="286"/>
      <c r="K27" s="276"/>
      <c r="L27" s="10"/>
      <c r="M27" s="4"/>
      <c r="N27" s="4"/>
      <c r="O27" s="4"/>
      <c r="P27" s="4"/>
    </row>
    <row r="28" spans="1:19">
      <c r="A28" s="9"/>
      <c r="B28" s="22">
        <v>1</v>
      </c>
      <c r="C28" s="23" t="s">
        <v>22</v>
      </c>
      <c r="D28" s="23"/>
      <c r="E28" s="23" t="s">
        <v>23</v>
      </c>
      <c r="F28" s="24" t="s">
        <v>24</v>
      </c>
      <c r="G28" s="25">
        <f>ROUND(146.5,3)</f>
        <v>146.5</v>
      </c>
      <c r="H28" s="40">
        <f>ROUND(0,2)</f>
        <v>0</v>
      </c>
      <c r="I28" s="26">
        <f>ROUND(H28*G28,2)</f>
        <v>0</v>
      </c>
      <c r="J28" s="45" t="s">
        <v>25</v>
      </c>
      <c r="K28" s="26">
        <f>IF(ISNUMBER(J28),ROUND(I28*(J28+1),2),0)</f>
        <v>0</v>
      </c>
      <c r="L28" s="10"/>
      <c r="M28" s="4"/>
      <c r="N28" s="4"/>
      <c r="O28" s="4"/>
      <c r="P28" s="4"/>
      <c r="Q28" s="1">
        <f>IF(ISNUMBER(J28),IF(G28&gt;0,IF(H28&gt;0,I28,0),0),0)</f>
        <v>0</v>
      </c>
      <c r="R28" s="1">
        <f>IF(ISNUMBER(J28)=FALSE,I28,0)</f>
        <v>0</v>
      </c>
    </row>
    <row r="29" spans="1:19">
      <c r="A29" s="9"/>
      <c r="B29" s="283" t="s">
        <v>27</v>
      </c>
      <c r="C29" s="276"/>
      <c r="D29" s="276"/>
      <c r="E29" s="27" t="s">
        <v>26</v>
      </c>
      <c r="F29" s="3"/>
      <c r="G29" s="3"/>
      <c r="H29" s="39"/>
      <c r="I29" s="3"/>
      <c r="J29" s="39"/>
      <c r="K29" s="3"/>
      <c r="L29" s="10"/>
      <c r="M29" s="4"/>
      <c r="N29" s="4"/>
      <c r="O29" s="4"/>
      <c r="P29" s="4"/>
    </row>
    <row r="30" spans="1:19" ht="13.5" thickBot="1">
      <c r="A30" s="9"/>
      <c r="B30" s="281" t="s">
        <v>28</v>
      </c>
      <c r="C30" s="282"/>
      <c r="D30" s="282"/>
      <c r="E30" s="29" t="s">
        <v>25</v>
      </c>
      <c r="F30" s="28"/>
      <c r="G30" s="28"/>
      <c r="H30" s="41"/>
      <c r="I30" s="28"/>
      <c r="J30" s="41"/>
      <c r="K30" s="28"/>
      <c r="L30" s="10"/>
      <c r="M30" s="4"/>
      <c r="N30" s="4"/>
      <c r="O30" s="4"/>
      <c r="P30" s="4"/>
    </row>
    <row r="31" spans="1:19" ht="13.5" thickTop="1">
      <c r="A31" s="9"/>
      <c r="B31" s="22">
        <v>2</v>
      </c>
      <c r="C31" s="23" t="s">
        <v>29</v>
      </c>
      <c r="D31" s="23" t="s">
        <v>25</v>
      </c>
      <c r="E31" s="23" t="s">
        <v>30</v>
      </c>
      <c r="F31" s="24" t="s">
        <v>24</v>
      </c>
      <c r="G31" s="30">
        <f>ROUND(199.5,3)</f>
        <v>199.5</v>
      </c>
      <c r="H31" s="42">
        <f>ROUND(0,2)</f>
        <v>0</v>
      </c>
      <c r="I31" s="31">
        <f>ROUND(H31*G31,2)</f>
        <v>0</v>
      </c>
      <c r="J31" s="46" t="s">
        <v>25</v>
      </c>
      <c r="K31" s="31">
        <f>IF(ISNUMBER(J31),ROUND(I31*(J31+1),2),0)</f>
        <v>0</v>
      </c>
      <c r="L31" s="10"/>
      <c r="M31" s="4"/>
      <c r="N31" s="4"/>
      <c r="O31" s="4"/>
      <c r="P31" s="4"/>
      <c r="Q31" s="1">
        <f>IF(ISNUMBER(J31),IF(G31&gt;0,IF(H31&gt;0,I31,0),0),0)</f>
        <v>0</v>
      </c>
      <c r="R31" s="1">
        <f>IF(ISNUMBER(J31)=FALSE,I31,0)</f>
        <v>0</v>
      </c>
    </row>
    <row r="32" spans="1:19">
      <c r="A32" s="9"/>
      <c r="B32" s="283" t="s">
        <v>27</v>
      </c>
      <c r="C32" s="276"/>
      <c r="D32" s="276"/>
      <c r="E32" s="27" t="s">
        <v>31</v>
      </c>
      <c r="F32" s="3"/>
      <c r="G32" s="3"/>
      <c r="H32" s="39"/>
      <c r="I32" s="3"/>
      <c r="J32" s="39"/>
      <c r="K32" s="3"/>
      <c r="L32" s="10"/>
      <c r="M32" s="4"/>
      <c r="N32" s="4"/>
      <c r="O32" s="4"/>
      <c r="P32" s="4"/>
    </row>
    <row r="33" spans="1:19" ht="13.5" thickBot="1">
      <c r="A33" s="9"/>
      <c r="B33" s="281" t="s">
        <v>28</v>
      </c>
      <c r="C33" s="282"/>
      <c r="D33" s="282"/>
      <c r="E33" s="29" t="s">
        <v>25</v>
      </c>
      <c r="F33" s="28"/>
      <c r="G33" s="28"/>
      <c r="H33" s="41"/>
      <c r="I33" s="28"/>
      <c r="J33" s="41"/>
      <c r="K33" s="28"/>
      <c r="L33" s="10"/>
      <c r="M33" s="4"/>
      <c r="N33" s="4"/>
      <c r="O33" s="4"/>
      <c r="P33" s="4"/>
    </row>
    <row r="34" spans="1:19" ht="13.5" thickTop="1">
      <c r="A34" s="9"/>
      <c r="B34" s="22">
        <v>3</v>
      </c>
      <c r="C34" s="23" t="s">
        <v>32</v>
      </c>
      <c r="D34" s="23" t="s">
        <v>25</v>
      </c>
      <c r="E34" s="23" t="s">
        <v>33</v>
      </c>
      <c r="F34" s="24" t="s">
        <v>24</v>
      </c>
      <c r="G34" s="30">
        <f>ROUND(2.5,3)</f>
        <v>2.5</v>
      </c>
      <c r="H34" s="42">
        <f>ROUND(0,2)</f>
        <v>0</v>
      </c>
      <c r="I34" s="31">
        <f>ROUND(H34*G34,2)</f>
        <v>0</v>
      </c>
      <c r="J34" s="46" t="s">
        <v>25</v>
      </c>
      <c r="K34" s="31">
        <f>IF(ISNUMBER(J34),ROUND(I34*(J34+1),2),0)</f>
        <v>0</v>
      </c>
      <c r="L34" s="10"/>
      <c r="M34" s="4"/>
      <c r="N34" s="4"/>
      <c r="O34" s="4"/>
      <c r="P34" s="4"/>
      <c r="Q34" s="1">
        <f>IF(ISNUMBER(J34),IF(G34&gt;0,IF(H34&gt;0,I34,0),0),0)</f>
        <v>0</v>
      </c>
      <c r="R34" s="1">
        <f>IF(ISNUMBER(J34)=FALSE,I34,0)</f>
        <v>0</v>
      </c>
    </row>
    <row r="35" spans="1:19">
      <c r="A35" s="9"/>
      <c r="B35" s="283" t="s">
        <v>27</v>
      </c>
      <c r="C35" s="276"/>
      <c r="D35" s="276"/>
      <c r="E35" s="27" t="s">
        <v>34</v>
      </c>
      <c r="F35" s="3"/>
      <c r="G35" s="3"/>
      <c r="H35" s="39"/>
      <c r="I35" s="3"/>
      <c r="J35" s="39"/>
      <c r="K35" s="3"/>
      <c r="L35" s="10"/>
      <c r="M35" s="4"/>
      <c r="N35" s="4"/>
      <c r="O35" s="4"/>
      <c r="P35" s="4"/>
    </row>
    <row r="36" spans="1:19" ht="13.5" thickBot="1">
      <c r="A36" s="9"/>
      <c r="B36" s="281" t="s">
        <v>28</v>
      </c>
      <c r="C36" s="282"/>
      <c r="D36" s="282"/>
      <c r="E36" s="29" t="s">
        <v>25</v>
      </c>
      <c r="F36" s="28"/>
      <c r="G36" s="28"/>
      <c r="H36" s="41"/>
      <c r="I36" s="28"/>
      <c r="J36" s="41"/>
      <c r="K36" s="28"/>
      <c r="L36" s="10"/>
      <c r="M36" s="4"/>
      <c r="N36" s="4"/>
      <c r="O36" s="4"/>
      <c r="P36" s="4"/>
    </row>
    <row r="37" spans="1:19" ht="13.5" thickTop="1">
      <c r="A37" s="9"/>
      <c r="B37" s="22">
        <v>4</v>
      </c>
      <c r="C37" s="23" t="s">
        <v>35</v>
      </c>
      <c r="D37" s="23" t="s">
        <v>25</v>
      </c>
      <c r="E37" s="23" t="s">
        <v>36</v>
      </c>
      <c r="F37" s="24" t="s">
        <v>24</v>
      </c>
      <c r="G37" s="30">
        <f>ROUND(0.5,3)</f>
        <v>0.5</v>
      </c>
      <c r="H37" s="42">
        <f>ROUND(0,2)</f>
        <v>0</v>
      </c>
      <c r="I37" s="31">
        <f>ROUND(H37*G37,2)</f>
        <v>0</v>
      </c>
      <c r="J37" s="46" t="s">
        <v>25</v>
      </c>
      <c r="K37" s="31">
        <f>IF(ISNUMBER(J37),ROUND(I37*(J37+1),2),0)</f>
        <v>0</v>
      </c>
      <c r="L37" s="10"/>
      <c r="M37" s="4"/>
      <c r="N37" s="4"/>
      <c r="O37" s="4"/>
      <c r="P37" s="4"/>
      <c r="Q37" s="1">
        <f>IF(ISNUMBER(J37),IF(G37&gt;0,IF(H37&gt;0,I37,0),0),0)</f>
        <v>0</v>
      </c>
      <c r="R37" s="1">
        <f>IF(ISNUMBER(J37)=FALSE,I37,0)</f>
        <v>0</v>
      </c>
    </row>
    <row r="38" spans="1:19">
      <c r="A38" s="9"/>
      <c r="B38" s="283" t="s">
        <v>27</v>
      </c>
      <c r="C38" s="276"/>
      <c r="D38" s="276"/>
      <c r="E38" s="27" t="s">
        <v>37</v>
      </c>
      <c r="F38" s="3"/>
      <c r="G38" s="3"/>
      <c r="H38" s="39"/>
      <c r="I38" s="3"/>
      <c r="J38" s="39"/>
      <c r="K38" s="3"/>
      <c r="L38" s="10"/>
      <c r="M38" s="4"/>
      <c r="N38" s="4"/>
      <c r="O38" s="4"/>
      <c r="P38" s="4"/>
    </row>
    <row r="39" spans="1:19" ht="13.5" thickBot="1">
      <c r="A39" s="9"/>
      <c r="B39" s="281" t="s">
        <v>28</v>
      </c>
      <c r="C39" s="282"/>
      <c r="D39" s="282"/>
      <c r="E39" s="29" t="s">
        <v>25</v>
      </c>
      <c r="F39" s="28"/>
      <c r="G39" s="28"/>
      <c r="H39" s="41"/>
      <c r="I39" s="28"/>
      <c r="J39" s="41"/>
      <c r="K39" s="28"/>
      <c r="L39" s="10"/>
      <c r="M39" s="4"/>
      <c r="N39" s="4"/>
      <c r="O39" s="4"/>
      <c r="P39" s="4"/>
    </row>
    <row r="40" spans="1:19" ht="13.5" thickTop="1">
      <c r="A40" s="9"/>
      <c r="B40" s="22">
        <v>5</v>
      </c>
      <c r="C40" s="23" t="s">
        <v>38</v>
      </c>
      <c r="D40" s="23" t="s">
        <v>25</v>
      </c>
      <c r="E40" s="23" t="s">
        <v>39</v>
      </c>
      <c r="F40" s="24" t="s">
        <v>40</v>
      </c>
      <c r="G40" s="30">
        <f>ROUND(1,3)</f>
        <v>1</v>
      </c>
      <c r="H40" s="42">
        <f>ROUND(0,2)</f>
        <v>0</v>
      </c>
      <c r="I40" s="31">
        <f>ROUND(H40*G40,2)</f>
        <v>0</v>
      </c>
      <c r="J40" s="46" t="s">
        <v>25</v>
      </c>
      <c r="K40" s="31">
        <f>IF(ISNUMBER(J40),ROUND(I40*(J40+1),2),0)</f>
        <v>0</v>
      </c>
      <c r="L40" s="10"/>
      <c r="M40" s="4"/>
      <c r="N40" s="4"/>
      <c r="O40" s="4"/>
      <c r="P40" s="4"/>
      <c r="Q40" s="1">
        <f>IF(ISNUMBER(J40),IF(G40&gt;0,IF(H40&gt;0,I40,0),0),0)</f>
        <v>0</v>
      </c>
      <c r="R40" s="1">
        <f>IF(ISNUMBER(J40)=FALSE,I40,0)</f>
        <v>0</v>
      </c>
    </row>
    <row r="41" spans="1:19">
      <c r="A41" s="9"/>
      <c r="B41" s="283" t="s">
        <v>27</v>
      </c>
      <c r="C41" s="276"/>
      <c r="D41" s="276"/>
      <c r="E41" s="27" t="s">
        <v>41</v>
      </c>
      <c r="F41" s="3"/>
      <c r="G41" s="3"/>
      <c r="H41" s="39"/>
      <c r="I41" s="3"/>
      <c r="J41" s="39"/>
      <c r="K41" s="3"/>
      <c r="L41" s="10"/>
      <c r="M41" s="4"/>
      <c r="N41" s="4"/>
      <c r="O41" s="4"/>
      <c r="P41" s="4"/>
    </row>
    <row r="42" spans="1:19" ht="13.5" thickBot="1">
      <c r="A42" s="9"/>
      <c r="B42" s="281" t="s">
        <v>28</v>
      </c>
      <c r="C42" s="282"/>
      <c r="D42" s="282"/>
      <c r="E42" s="29" t="s">
        <v>25</v>
      </c>
      <c r="F42" s="28"/>
      <c r="G42" s="28"/>
      <c r="H42" s="41"/>
      <c r="I42" s="28"/>
      <c r="J42" s="41"/>
      <c r="K42" s="28"/>
      <c r="L42" s="10"/>
      <c r="M42" s="4"/>
      <c r="N42" s="4"/>
      <c r="O42" s="4"/>
      <c r="P42" s="4"/>
    </row>
    <row r="43" spans="1:19" ht="24.95" customHeight="1" thickTop="1" thickBot="1">
      <c r="A43" s="9"/>
      <c r="B43" s="32"/>
      <c r="C43" s="33">
        <v>0</v>
      </c>
      <c r="D43" s="32"/>
      <c r="E43" s="34" t="s">
        <v>43</v>
      </c>
      <c r="F43" s="35" t="s">
        <v>44</v>
      </c>
      <c r="G43" s="36">
        <f>I28+I31+I34+I37+I40</f>
        <v>0</v>
      </c>
      <c r="H43" s="43" t="s">
        <v>45</v>
      </c>
      <c r="I43" s="37">
        <f>IF(COUNT(J28:J43)&gt;0,AVERAGE(J28:J43),0.21)</f>
        <v>0.21</v>
      </c>
      <c r="J43" s="43" t="s">
        <v>46</v>
      </c>
      <c r="K43" s="36">
        <f>ROUND(Q43*(1+I43),2)+R43</f>
        <v>0</v>
      </c>
      <c r="L43" s="10"/>
      <c r="M43" s="4"/>
      <c r="N43" s="4"/>
      <c r="O43" s="4"/>
      <c r="P43" s="4"/>
      <c r="Q43" s="1">
        <f>0+Q28+Q31+Q34+Q37+Q40</f>
        <v>0</v>
      </c>
      <c r="R43" s="1">
        <f>0+R28+R31+R34+R37+R40</f>
        <v>0</v>
      </c>
      <c r="S43" s="2">
        <f>Q43*(1+I43)+R43</f>
        <v>0</v>
      </c>
    </row>
    <row r="44" spans="1:19" ht="39.950000000000003" customHeight="1">
      <c r="A44" s="9"/>
      <c r="B44" s="284" t="s">
        <v>71</v>
      </c>
      <c r="C44" s="276"/>
      <c r="D44" s="276"/>
      <c r="E44" s="285"/>
      <c r="F44" s="276"/>
      <c r="G44" s="276"/>
      <c r="H44" s="286"/>
      <c r="I44" s="276"/>
      <c r="J44" s="286"/>
      <c r="K44" s="276"/>
      <c r="L44" s="10"/>
      <c r="M44" s="4"/>
      <c r="N44" s="4"/>
      <c r="O44" s="4"/>
      <c r="P44" s="4"/>
    </row>
    <row r="45" spans="1:19">
      <c r="A45" s="9"/>
      <c r="B45" s="22">
        <v>6</v>
      </c>
      <c r="C45" s="23" t="s">
        <v>47</v>
      </c>
      <c r="D45" s="23"/>
      <c r="E45" s="23" t="s">
        <v>48</v>
      </c>
      <c r="F45" s="24" t="s">
        <v>49</v>
      </c>
      <c r="G45" s="25">
        <f>ROUND(541.5,3)</f>
        <v>541.5</v>
      </c>
      <c r="H45" s="40">
        <f>ROUND(0,2)</f>
        <v>0</v>
      </c>
      <c r="I45" s="26">
        <f>ROUND(H45*G45,2)</f>
        <v>0</v>
      </c>
      <c r="J45" s="45" t="s">
        <v>25</v>
      </c>
      <c r="K45" s="26">
        <f>IF(ISNUMBER(J45),ROUND(I45*(J45+1),2),0)</f>
        <v>0</v>
      </c>
      <c r="L45" s="10"/>
      <c r="M45" s="4"/>
      <c r="N45" s="4"/>
      <c r="O45" s="4"/>
      <c r="P45" s="4"/>
      <c r="Q45" s="1">
        <f>IF(ISNUMBER(J45),IF(G45&gt;0,IF(H45&gt;0,I45,0),0),0)</f>
        <v>0</v>
      </c>
      <c r="R45" s="1">
        <f>IF(ISNUMBER(J45)=FALSE,I45,0)</f>
        <v>0</v>
      </c>
    </row>
    <row r="46" spans="1:19">
      <c r="A46" s="9"/>
      <c r="B46" s="283" t="s">
        <v>27</v>
      </c>
      <c r="C46" s="276"/>
      <c r="D46" s="276"/>
      <c r="E46" s="27" t="s">
        <v>25</v>
      </c>
      <c r="F46" s="3"/>
      <c r="G46" s="3"/>
      <c r="H46" s="39"/>
      <c r="I46" s="3"/>
      <c r="J46" s="39"/>
      <c r="K46" s="3"/>
      <c r="L46" s="10"/>
      <c r="M46" s="4"/>
      <c r="N46" s="4"/>
      <c r="O46" s="4"/>
      <c r="P46" s="4"/>
    </row>
    <row r="47" spans="1:19" ht="13.5" thickBot="1">
      <c r="A47" s="9"/>
      <c r="B47" s="281" t="s">
        <v>28</v>
      </c>
      <c r="C47" s="282"/>
      <c r="D47" s="282"/>
      <c r="E47" s="29" t="s">
        <v>25</v>
      </c>
      <c r="F47" s="28"/>
      <c r="G47" s="28"/>
      <c r="H47" s="41"/>
      <c r="I47" s="28"/>
      <c r="J47" s="41"/>
      <c r="K47" s="28"/>
      <c r="L47" s="10"/>
      <c r="M47" s="4"/>
      <c r="N47" s="4"/>
      <c r="O47" s="4"/>
      <c r="P47" s="4"/>
    </row>
    <row r="48" spans="1:19" ht="13.5" thickTop="1">
      <c r="A48" s="9"/>
      <c r="B48" s="22">
        <v>7</v>
      </c>
      <c r="C48" s="23" t="s">
        <v>50</v>
      </c>
      <c r="D48" s="23" t="s">
        <v>25</v>
      </c>
      <c r="E48" s="23" t="s">
        <v>51</v>
      </c>
      <c r="F48" s="24" t="s">
        <v>52</v>
      </c>
      <c r="G48" s="30">
        <f>ROUND(2,3)</f>
        <v>2</v>
      </c>
      <c r="H48" s="42">
        <f>ROUND(0,2)</f>
        <v>0</v>
      </c>
      <c r="I48" s="31">
        <f>ROUND(H48*G48,2)</f>
        <v>0</v>
      </c>
      <c r="J48" s="46" t="s">
        <v>25</v>
      </c>
      <c r="K48" s="31">
        <f>IF(ISNUMBER(J48),ROUND(I48*(J48+1),2),0)</f>
        <v>0</v>
      </c>
      <c r="L48" s="10"/>
      <c r="M48" s="4"/>
      <c r="N48" s="4"/>
      <c r="O48" s="4"/>
      <c r="P48" s="4"/>
      <c r="Q48" s="1">
        <f>IF(ISNUMBER(J48),IF(G48&gt;0,IF(H48&gt;0,I48,0),0),0)</f>
        <v>0</v>
      </c>
      <c r="R48" s="1">
        <f>IF(ISNUMBER(J48)=FALSE,I48,0)</f>
        <v>0</v>
      </c>
    </row>
    <row r="49" spans="1:18">
      <c r="A49" s="9"/>
      <c r="B49" s="283" t="s">
        <v>27</v>
      </c>
      <c r="C49" s="276"/>
      <c r="D49" s="276"/>
      <c r="E49" s="27" t="s">
        <v>25</v>
      </c>
      <c r="F49" s="3"/>
      <c r="G49" s="3"/>
      <c r="H49" s="39"/>
      <c r="I49" s="3"/>
      <c r="J49" s="39"/>
      <c r="K49" s="3"/>
      <c r="L49" s="10"/>
      <c r="M49" s="4"/>
      <c r="N49" s="4"/>
      <c r="O49" s="4"/>
      <c r="P49" s="4"/>
    </row>
    <row r="50" spans="1:18" ht="13.5" thickBot="1">
      <c r="A50" s="9"/>
      <c r="B50" s="281" t="s">
        <v>28</v>
      </c>
      <c r="C50" s="282"/>
      <c r="D50" s="282"/>
      <c r="E50" s="29" t="s">
        <v>25</v>
      </c>
      <c r="F50" s="28"/>
      <c r="G50" s="28"/>
      <c r="H50" s="41"/>
      <c r="I50" s="28"/>
      <c r="J50" s="41"/>
      <c r="K50" s="28"/>
      <c r="L50" s="10"/>
      <c r="M50" s="4"/>
      <c r="N50" s="4"/>
      <c r="O50" s="4"/>
      <c r="P50" s="4"/>
    </row>
    <row r="51" spans="1:18" ht="13.5" thickTop="1">
      <c r="A51" s="9"/>
      <c r="B51" s="22">
        <v>8</v>
      </c>
      <c r="C51" s="23" t="s">
        <v>53</v>
      </c>
      <c r="D51" s="23" t="s">
        <v>25</v>
      </c>
      <c r="E51" s="23" t="s">
        <v>54</v>
      </c>
      <c r="F51" s="24" t="s">
        <v>49</v>
      </c>
      <c r="G51" s="30">
        <f>ROUND(11,3)</f>
        <v>11</v>
      </c>
      <c r="H51" s="42">
        <f>ROUND(0,2)</f>
        <v>0</v>
      </c>
      <c r="I51" s="31">
        <f>ROUND(H51*G51,2)</f>
        <v>0</v>
      </c>
      <c r="J51" s="46" t="s">
        <v>25</v>
      </c>
      <c r="K51" s="31">
        <f>IF(ISNUMBER(J51),ROUND(I51*(J51+1),2),0)</f>
        <v>0</v>
      </c>
      <c r="L51" s="10"/>
      <c r="M51" s="4"/>
      <c r="N51" s="4"/>
      <c r="O51" s="4"/>
      <c r="P51" s="4"/>
      <c r="Q51" s="1">
        <f>IF(ISNUMBER(J51),IF(G51&gt;0,IF(H51&gt;0,I51,0),0),0)</f>
        <v>0</v>
      </c>
      <c r="R51" s="1">
        <f>IF(ISNUMBER(J51)=FALSE,I51,0)</f>
        <v>0</v>
      </c>
    </row>
    <row r="52" spans="1:18">
      <c r="A52" s="9"/>
      <c r="B52" s="283" t="s">
        <v>27</v>
      </c>
      <c r="C52" s="276"/>
      <c r="D52" s="276"/>
      <c r="E52" s="27" t="s">
        <v>25</v>
      </c>
      <c r="F52" s="3"/>
      <c r="G52" s="3"/>
      <c r="H52" s="39"/>
      <c r="I52" s="3"/>
      <c r="J52" s="39"/>
      <c r="K52" s="3"/>
      <c r="L52" s="10"/>
      <c r="M52" s="4"/>
      <c r="N52" s="4"/>
      <c r="O52" s="4"/>
      <c r="P52" s="4"/>
    </row>
    <row r="53" spans="1:18" ht="13.5" thickBot="1">
      <c r="A53" s="9"/>
      <c r="B53" s="281" t="s">
        <v>28</v>
      </c>
      <c r="C53" s="282"/>
      <c r="D53" s="282"/>
      <c r="E53" s="29" t="s">
        <v>25</v>
      </c>
      <c r="F53" s="28"/>
      <c r="G53" s="28"/>
      <c r="H53" s="41"/>
      <c r="I53" s="28"/>
      <c r="J53" s="41"/>
      <c r="K53" s="28"/>
      <c r="L53" s="10"/>
      <c r="M53" s="4"/>
      <c r="N53" s="4"/>
      <c r="O53" s="4"/>
      <c r="P53" s="4"/>
    </row>
    <row r="54" spans="1:18" ht="13.5" thickTop="1">
      <c r="A54" s="9"/>
      <c r="B54" s="22">
        <v>9</v>
      </c>
      <c r="C54" s="23" t="s">
        <v>55</v>
      </c>
      <c r="D54" s="23" t="s">
        <v>25</v>
      </c>
      <c r="E54" s="23" t="s">
        <v>56</v>
      </c>
      <c r="F54" s="24" t="s">
        <v>57</v>
      </c>
      <c r="G54" s="30">
        <f>ROUND(365,3)</f>
        <v>365</v>
      </c>
      <c r="H54" s="42">
        <f>ROUND(0,2)</f>
        <v>0</v>
      </c>
      <c r="I54" s="31">
        <f>ROUND(H54*G54,2)</f>
        <v>0</v>
      </c>
      <c r="J54" s="46" t="s">
        <v>25</v>
      </c>
      <c r="K54" s="31">
        <f>IF(ISNUMBER(J54),ROUND(I54*(J54+1),2),0)</f>
        <v>0</v>
      </c>
      <c r="L54" s="10"/>
      <c r="M54" s="4"/>
      <c r="N54" s="4"/>
      <c r="O54" s="4"/>
      <c r="P54" s="4"/>
      <c r="Q54" s="1">
        <f>IF(ISNUMBER(J54),IF(G54&gt;0,IF(H54&gt;0,I54,0),0),0)</f>
        <v>0</v>
      </c>
      <c r="R54" s="1">
        <f>IF(ISNUMBER(J54)=FALSE,I54,0)</f>
        <v>0</v>
      </c>
    </row>
    <row r="55" spans="1:18">
      <c r="A55" s="9"/>
      <c r="B55" s="283" t="s">
        <v>27</v>
      </c>
      <c r="C55" s="276"/>
      <c r="D55" s="276"/>
      <c r="E55" s="27" t="s">
        <v>58</v>
      </c>
      <c r="F55" s="3"/>
      <c r="G55" s="3"/>
      <c r="H55" s="39"/>
      <c r="I55" s="3"/>
      <c r="J55" s="39"/>
      <c r="K55" s="3"/>
      <c r="L55" s="10"/>
      <c r="M55" s="4"/>
      <c r="N55" s="4"/>
      <c r="O55" s="4"/>
      <c r="P55" s="4"/>
    </row>
    <row r="56" spans="1:18" ht="13.5" thickBot="1">
      <c r="A56" s="9"/>
      <c r="B56" s="281" t="s">
        <v>28</v>
      </c>
      <c r="C56" s="282"/>
      <c r="D56" s="282"/>
      <c r="E56" s="29" t="s">
        <v>25</v>
      </c>
      <c r="F56" s="28"/>
      <c r="G56" s="28"/>
      <c r="H56" s="41"/>
      <c r="I56" s="28"/>
      <c r="J56" s="41"/>
      <c r="K56" s="28"/>
      <c r="L56" s="10"/>
      <c r="M56" s="4"/>
      <c r="N56" s="4"/>
      <c r="O56" s="4"/>
      <c r="P56" s="4"/>
    </row>
    <row r="57" spans="1:18" ht="13.5" thickTop="1">
      <c r="A57" s="9"/>
      <c r="B57" s="22">
        <v>10</v>
      </c>
      <c r="C57" s="23" t="s">
        <v>59</v>
      </c>
      <c r="D57" s="23" t="s">
        <v>25</v>
      </c>
      <c r="E57" s="23" t="s">
        <v>60</v>
      </c>
      <c r="F57" s="24" t="s">
        <v>57</v>
      </c>
      <c r="G57" s="30">
        <f>ROUND(88.5,3)</f>
        <v>88.5</v>
      </c>
      <c r="H57" s="42">
        <f>ROUND(0,2)</f>
        <v>0</v>
      </c>
      <c r="I57" s="31">
        <f>ROUND(H57*G57,2)</f>
        <v>0</v>
      </c>
      <c r="J57" s="46" t="s">
        <v>25</v>
      </c>
      <c r="K57" s="31">
        <f>IF(ISNUMBER(J57),ROUND(I57*(J57+1),2),0)</f>
        <v>0</v>
      </c>
      <c r="L57" s="10"/>
      <c r="M57" s="4"/>
      <c r="N57" s="4"/>
      <c r="O57" s="4"/>
      <c r="P57" s="4"/>
      <c r="Q57" s="1">
        <f>IF(ISNUMBER(J57),IF(G57&gt;0,IF(H57&gt;0,I57,0),0),0)</f>
        <v>0</v>
      </c>
      <c r="R57" s="1">
        <f>IF(ISNUMBER(J57)=FALSE,I57,0)</f>
        <v>0</v>
      </c>
    </row>
    <row r="58" spans="1:18">
      <c r="A58" s="9"/>
      <c r="B58" s="283" t="s">
        <v>27</v>
      </c>
      <c r="C58" s="276"/>
      <c r="D58" s="276"/>
      <c r="E58" s="27" t="s">
        <v>61</v>
      </c>
      <c r="F58" s="3"/>
      <c r="G58" s="3"/>
      <c r="H58" s="39"/>
      <c r="I58" s="3"/>
      <c r="J58" s="39"/>
      <c r="K58" s="3"/>
      <c r="L58" s="10"/>
      <c r="M58" s="4"/>
      <c r="N58" s="4"/>
      <c r="O58" s="4"/>
      <c r="P58" s="4"/>
    </row>
    <row r="59" spans="1:18" ht="13.5" thickBot="1">
      <c r="A59" s="9"/>
      <c r="B59" s="281" t="s">
        <v>28</v>
      </c>
      <c r="C59" s="282"/>
      <c r="D59" s="282"/>
      <c r="E59" s="29" t="s">
        <v>25</v>
      </c>
      <c r="F59" s="28"/>
      <c r="G59" s="28"/>
      <c r="H59" s="41"/>
      <c r="I59" s="28"/>
      <c r="J59" s="41"/>
      <c r="K59" s="28"/>
      <c r="L59" s="10"/>
      <c r="M59" s="4"/>
      <c r="N59" s="4"/>
      <c r="O59" s="4"/>
      <c r="P59" s="4"/>
    </row>
    <row r="60" spans="1:18" ht="13.5" thickTop="1">
      <c r="A60" s="9"/>
      <c r="B60" s="22">
        <v>11</v>
      </c>
      <c r="C60" s="23" t="s">
        <v>62</v>
      </c>
      <c r="D60" s="23" t="s">
        <v>25</v>
      </c>
      <c r="E60" s="23" t="s">
        <v>63</v>
      </c>
      <c r="F60" s="24" t="s">
        <v>64</v>
      </c>
      <c r="G60" s="30">
        <f>ROUND(24.5,3)</f>
        <v>24.5</v>
      </c>
      <c r="H60" s="42">
        <f>ROUND(0,2)</f>
        <v>0</v>
      </c>
      <c r="I60" s="31">
        <f>ROUND(H60*G60,2)</f>
        <v>0</v>
      </c>
      <c r="J60" s="46" t="s">
        <v>25</v>
      </c>
      <c r="K60" s="31">
        <f>IF(ISNUMBER(J60),ROUND(I60*(J60+1),2),0)</f>
        <v>0</v>
      </c>
      <c r="L60" s="10"/>
      <c r="M60" s="4"/>
      <c r="N60" s="4"/>
      <c r="O60" s="4"/>
      <c r="P60" s="4"/>
      <c r="Q60" s="1">
        <f>IF(ISNUMBER(J60),IF(G60&gt;0,IF(H60&gt;0,I60,0),0),0)</f>
        <v>0</v>
      </c>
      <c r="R60" s="1">
        <f>IF(ISNUMBER(J60)=FALSE,I60,0)</f>
        <v>0</v>
      </c>
    </row>
    <row r="61" spans="1:18">
      <c r="A61" s="9"/>
      <c r="B61" s="283" t="s">
        <v>27</v>
      </c>
      <c r="C61" s="276"/>
      <c r="D61" s="276"/>
      <c r="E61" s="27" t="s">
        <v>65</v>
      </c>
      <c r="F61" s="3"/>
      <c r="G61" s="3"/>
      <c r="H61" s="39"/>
      <c r="I61" s="3"/>
      <c r="J61" s="39"/>
      <c r="K61" s="3"/>
      <c r="L61" s="10"/>
      <c r="M61" s="4"/>
      <c r="N61" s="4"/>
      <c r="O61" s="4"/>
      <c r="P61" s="4"/>
    </row>
    <row r="62" spans="1:18" ht="13.5" thickBot="1">
      <c r="A62" s="9"/>
      <c r="B62" s="281" t="s">
        <v>28</v>
      </c>
      <c r="C62" s="282"/>
      <c r="D62" s="282"/>
      <c r="E62" s="29" t="s">
        <v>25</v>
      </c>
      <c r="F62" s="28"/>
      <c r="G62" s="28"/>
      <c r="H62" s="41"/>
      <c r="I62" s="28"/>
      <c r="J62" s="41"/>
      <c r="K62" s="28"/>
      <c r="L62" s="10"/>
      <c r="M62" s="4"/>
      <c r="N62" s="4"/>
      <c r="O62" s="4"/>
      <c r="P62" s="4"/>
    </row>
    <row r="63" spans="1:18" ht="13.5" thickTop="1">
      <c r="A63" s="9"/>
      <c r="B63" s="22">
        <v>12</v>
      </c>
      <c r="C63" s="23" t="s">
        <v>66</v>
      </c>
      <c r="D63" s="23" t="s">
        <v>25</v>
      </c>
      <c r="E63" s="23" t="s">
        <v>67</v>
      </c>
      <c r="F63" s="24" t="s">
        <v>57</v>
      </c>
      <c r="G63" s="30">
        <f>ROUND(91,3)</f>
        <v>91</v>
      </c>
      <c r="H63" s="42">
        <f>ROUND(0,2)</f>
        <v>0</v>
      </c>
      <c r="I63" s="31">
        <f>ROUND(H63*G63,2)</f>
        <v>0</v>
      </c>
      <c r="J63" s="46" t="s">
        <v>25</v>
      </c>
      <c r="K63" s="31">
        <f>IF(ISNUMBER(J63),ROUND(I63*(J63+1),2),0)</f>
        <v>0</v>
      </c>
      <c r="L63" s="10"/>
      <c r="M63" s="4"/>
      <c r="N63" s="4"/>
      <c r="O63" s="4"/>
      <c r="P63" s="4"/>
      <c r="Q63" s="1">
        <f>IF(ISNUMBER(J63),IF(G63&gt;0,IF(H63&gt;0,I63,0),0),0)</f>
        <v>0</v>
      </c>
      <c r="R63" s="1">
        <f>IF(ISNUMBER(J63)=FALSE,I63,0)</f>
        <v>0</v>
      </c>
    </row>
    <row r="64" spans="1:18">
      <c r="A64" s="9"/>
      <c r="B64" s="283" t="s">
        <v>27</v>
      </c>
      <c r="C64" s="276"/>
      <c r="D64" s="276"/>
      <c r="E64" s="27" t="s">
        <v>68</v>
      </c>
      <c r="F64" s="3"/>
      <c r="G64" s="3"/>
      <c r="H64" s="39"/>
      <c r="I64" s="3"/>
      <c r="J64" s="39"/>
      <c r="K64" s="3"/>
      <c r="L64" s="10"/>
      <c r="M64" s="4"/>
      <c r="N64" s="4"/>
      <c r="O64" s="4"/>
      <c r="P64" s="4"/>
    </row>
    <row r="65" spans="1:19" ht="13.5" thickBot="1">
      <c r="A65" s="9"/>
      <c r="B65" s="281" t="s">
        <v>28</v>
      </c>
      <c r="C65" s="282"/>
      <c r="D65" s="282"/>
      <c r="E65" s="29" t="s">
        <v>25</v>
      </c>
      <c r="F65" s="28"/>
      <c r="G65" s="28"/>
      <c r="H65" s="41"/>
      <c r="I65" s="28"/>
      <c r="J65" s="41"/>
      <c r="K65" s="28"/>
      <c r="L65" s="10"/>
      <c r="M65" s="4"/>
      <c r="N65" s="4"/>
      <c r="O65" s="4"/>
      <c r="P65" s="4"/>
    </row>
    <row r="66" spans="1:19" ht="13.5" thickTop="1">
      <c r="A66" s="9"/>
      <c r="B66" s="22">
        <v>13</v>
      </c>
      <c r="C66" s="23" t="s">
        <v>69</v>
      </c>
      <c r="D66" s="23" t="s">
        <v>25</v>
      </c>
      <c r="E66" s="23" t="s">
        <v>70</v>
      </c>
      <c r="F66" s="24" t="s">
        <v>49</v>
      </c>
      <c r="G66" s="30">
        <f>ROUND(20,3)</f>
        <v>20</v>
      </c>
      <c r="H66" s="42">
        <f>ROUND(0,2)</f>
        <v>0</v>
      </c>
      <c r="I66" s="31">
        <f>ROUND(H66*G66,2)</f>
        <v>0</v>
      </c>
      <c r="J66" s="46" t="s">
        <v>25</v>
      </c>
      <c r="K66" s="31">
        <f>IF(ISNUMBER(J66),ROUND(I66*(J66+1),2),0)</f>
        <v>0</v>
      </c>
      <c r="L66" s="10"/>
      <c r="M66" s="4"/>
      <c r="N66" s="4"/>
      <c r="O66" s="4"/>
      <c r="P66" s="4"/>
      <c r="Q66" s="1">
        <f>IF(ISNUMBER(J66),IF(G66&gt;0,IF(H66&gt;0,I66,0),0),0)</f>
        <v>0</v>
      </c>
      <c r="R66" s="1">
        <f>IF(ISNUMBER(J66)=FALSE,I66,0)</f>
        <v>0</v>
      </c>
    </row>
    <row r="67" spans="1:19">
      <c r="A67" s="9"/>
      <c r="B67" s="283" t="s">
        <v>27</v>
      </c>
      <c r="C67" s="276"/>
      <c r="D67" s="276"/>
      <c r="E67" s="27" t="s">
        <v>25</v>
      </c>
      <c r="F67" s="3"/>
      <c r="G67" s="3"/>
      <c r="H67" s="39"/>
      <c r="I67" s="3"/>
      <c r="J67" s="39"/>
      <c r="K67" s="3"/>
      <c r="L67" s="10"/>
      <c r="M67" s="4"/>
      <c r="N67" s="4"/>
      <c r="O67" s="4"/>
      <c r="P67" s="4"/>
    </row>
    <row r="68" spans="1:19" ht="13.5" thickBot="1">
      <c r="A68" s="9"/>
      <c r="B68" s="281" t="s">
        <v>28</v>
      </c>
      <c r="C68" s="282"/>
      <c r="D68" s="282"/>
      <c r="E68" s="29" t="s">
        <v>25</v>
      </c>
      <c r="F68" s="28"/>
      <c r="G68" s="28"/>
      <c r="H68" s="41"/>
      <c r="I68" s="28"/>
      <c r="J68" s="41"/>
      <c r="K68" s="28"/>
      <c r="L68" s="10"/>
      <c r="M68" s="4"/>
      <c r="N68" s="4"/>
      <c r="O68" s="4"/>
      <c r="P68" s="4"/>
    </row>
    <row r="69" spans="1:19" ht="24.95" customHeight="1" thickTop="1" thickBot="1">
      <c r="A69" s="9"/>
      <c r="B69" s="32"/>
      <c r="C69" s="33">
        <v>1</v>
      </c>
      <c r="D69" s="32"/>
      <c r="E69" s="34" t="s">
        <v>72</v>
      </c>
      <c r="F69" s="35" t="s">
        <v>44</v>
      </c>
      <c r="G69" s="36">
        <f>I45+I48+I51+I54+I57+I60+I63+I66</f>
        <v>0</v>
      </c>
      <c r="H69" s="43" t="s">
        <v>45</v>
      </c>
      <c r="I69" s="37">
        <f>IF(COUNT(J45:J69)&gt;0,AVERAGE(J45:J69),0.21)</f>
        <v>0.21</v>
      </c>
      <c r="J69" s="43" t="s">
        <v>46</v>
      </c>
      <c r="K69" s="36">
        <f>ROUND(Q69*(1+I69),2)+R69</f>
        <v>0</v>
      </c>
      <c r="L69" s="10"/>
      <c r="M69" s="4"/>
      <c r="N69" s="4"/>
      <c r="O69" s="4"/>
      <c r="P69" s="4"/>
      <c r="Q69" s="1">
        <f>0+Q45+Q48+Q51+Q54+Q57+Q60+Q63+Q66</f>
        <v>0</v>
      </c>
      <c r="R69" s="1">
        <f>0+R45+R48+R51+R54+R57+R60+R63+R66</f>
        <v>0</v>
      </c>
      <c r="S69" s="2">
        <f>Q69*(1+I69)+R69</f>
        <v>0</v>
      </c>
    </row>
    <row r="70" spans="1:19" ht="39.950000000000003" customHeight="1">
      <c r="A70" s="9"/>
      <c r="B70" s="284" t="s">
        <v>86</v>
      </c>
      <c r="C70" s="276"/>
      <c r="D70" s="276"/>
      <c r="E70" s="285"/>
      <c r="F70" s="276"/>
      <c r="G70" s="276"/>
      <c r="H70" s="286"/>
      <c r="I70" s="276"/>
      <c r="J70" s="286"/>
      <c r="K70" s="276"/>
      <c r="L70" s="10"/>
      <c r="M70" s="4"/>
      <c r="N70" s="4"/>
      <c r="O70" s="4"/>
      <c r="P70" s="4"/>
    </row>
    <row r="71" spans="1:19">
      <c r="A71" s="9"/>
      <c r="B71" s="22">
        <v>14</v>
      </c>
      <c r="C71" s="23" t="s">
        <v>73</v>
      </c>
      <c r="D71" s="23" t="s">
        <v>25</v>
      </c>
      <c r="E71" s="23" t="s">
        <v>74</v>
      </c>
      <c r="F71" s="24" t="s">
        <v>52</v>
      </c>
      <c r="G71" s="25">
        <f>ROUND(2,3)</f>
        <v>2</v>
      </c>
      <c r="H71" s="40">
        <f>ROUND(0,2)</f>
        <v>0</v>
      </c>
      <c r="I71" s="26">
        <f>ROUND(H71*G71,2)</f>
        <v>0</v>
      </c>
      <c r="J71" s="45" t="s">
        <v>25</v>
      </c>
      <c r="K71" s="26">
        <f>IF(ISNUMBER(J71),ROUND(I71*(J71+1),2),0)</f>
        <v>0</v>
      </c>
      <c r="L71" s="10"/>
      <c r="M71" s="4"/>
      <c r="N71" s="4"/>
      <c r="O71" s="4"/>
      <c r="P71" s="4"/>
      <c r="Q71" s="1">
        <f>IF(ISNUMBER(J71),IF(G71&gt;0,IF(H71&gt;0,I71,0),0),0)</f>
        <v>0</v>
      </c>
      <c r="R71" s="1">
        <f>IF(ISNUMBER(J71)=FALSE,I71,0)</f>
        <v>0</v>
      </c>
    </row>
    <row r="72" spans="1:19">
      <c r="A72" s="9"/>
      <c r="B72" s="283" t="s">
        <v>27</v>
      </c>
      <c r="C72" s="276"/>
      <c r="D72" s="276"/>
      <c r="E72" s="27" t="s">
        <v>25</v>
      </c>
      <c r="F72" s="3"/>
      <c r="G72" s="3"/>
      <c r="H72" s="39"/>
      <c r="I72" s="3"/>
      <c r="J72" s="39"/>
      <c r="K72" s="3"/>
      <c r="L72" s="10"/>
      <c r="M72" s="4"/>
      <c r="N72" s="4"/>
      <c r="O72" s="4"/>
      <c r="P72" s="4"/>
    </row>
    <row r="73" spans="1:19" ht="13.5" thickBot="1">
      <c r="A73" s="9"/>
      <c r="B73" s="281" t="s">
        <v>28</v>
      </c>
      <c r="C73" s="282"/>
      <c r="D73" s="282"/>
      <c r="E73" s="29" t="s">
        <v>25</v>
      </c>
      <c r="F73" s="28"/>
      <c r="G73" s="28"/>
      <c r="H73" s="41"/>
      <c r="I73" s="28"/>
      <c r="J73" s="41"/>
      <c r="K73" s="28"/>
      <c r="L73" s="10"/>
      <c r="M73" s="4"/>
      <c r="N73" s="4"/>
      <c r="O73" s="4"/>
      <c r="P73" s="4"/>
    </row>
    <row r="74" spans="1:19" ht="13.5" thickTop="1">
      <c r="A74" s="9"/>
      <c r="B74" s="22">
        <v>15</v>
      </c>
      <c r="C74" s="23" t="s">
        <v>75</v>
      </c>
      <c r="D74" s="23" t="s">
        <v>25</v>
      </c>
      <c r="E74" s="23" t="s">
        <v>76</v>
      </c>
      <c r="F74" s="24" t="s">
        <v>52</v>
      </c>
      <c r="G74" s="30">
        <f>ROUND(2,3)</f>
        <v>2</v>
      </c>
      <c r="H74" s="42">
        <f>ROUND(0,2)</f>
        <v>0</v>
      </c>
      <c r="I74" s="31">
        <f>ROUND(H74*G74,2)</f>
        <v>0</v>
      </c>
      <c r="J74" s="46" t="s">
        <v>25</v>
      </c>
      <c r="K74" s="31">
        <f>IF(ISNUMBER(J74),ROUND(I74*(J74+1),2),0)</f>
        <v>0</v>
      </c>
      <c r="L74" s="10"/>
      <c r="M74" s="4"/>
      <c r="N74" s="4"/>
      <c r="O74" s="4"/>
      <c r="P74" s="4"/>
      <c r="Q74" s="1">
        <f>IF(ISNUMBER(J74),IF(G74&gt;0,IF(H74&gt;0,I74,0),0),0)</f>
        <v>0</v>
      </c>
      <c r="R74" s="1">
        <f>IF(ISNUMBER(J74)=FALSE,I74,0)</f>
        <v>0</v>
      </c>
    </row>
    <row r="75" spans="1:19">
      <c r="A75" s="9"/>
      <c r="B75" s="283" t="s">
        <v>27</v>
      </c>
      <c r="C75" s="276"/>
      <c r="D75" s="276"/>
      <c r="E75" s="27" t="s">
        <v>25</v>
      </c>
      <c r="F75" s="3"/>
      <c r="G75" s="3"/>
      <c r="H75" s="39"/>
      <c r="I75" s="3"/>
      <c r="J75" s="39"/>
      <c r="K75" s="3"/>
      <c r="L75" s="10"/>
      <c r="M75" s="4"/>
      <c r="N75" s="4"/>
      <c r="O75" s="4"/>
      <c r="P75" s="4"/>
    </row>
    <row r="76" spans="1:19" ht="13.5" thickBot="1">
      <c r="A76" s="9"/>
      <c r="B76" s="281" t="s">
        <v>28</v>
      </c>
      <c r="C76" s="282"/>
      <c r="D76" s="282"/>
      <c r="E76" s="29" t="s">
        <v>25</v>
      </c>
      <c r="F76" s="28"/>
      <c r="G76" s="28"/>
      <c r="H76" s="41"/>
      <c r="I76" s="28"/>
      <c r="J76" s="41"/>
      <c r="K76" s="28"/>
      <c r="L76" s="10"/>
      <c r="M76" s="4"/>
      <c r="N76" s="4"/>
      <c r="O76" s="4"/>
      <c r="P76" s="4"/>
    </row>
    <row r="77" spans="1:19" ht="13.5" thickTop="1">
      <c r="A77" s="9"/>
      <c r="B77" s="22">
        <v>16</v>
      </c>
      <c r="C77" s="23" t="s">
        <v>77</v>
      </c>
      <c r="D77" s="23" t="s">
        <v>25</v>
      </c>
      <c r="E77" s="23" t="s">
        <v>78</v>
      </c>
      <c r="F77" s="24" t="s">
        <v>64</v>
      </c>
      <c r="G77" s="30">
        <f>ROUND(208.5,3)</f>
        <v>208.5</v>
      </c>
      <c r="H77" s="42">
        <f>ROUND(0,2)</f>
        <v>0</v>
      </c>
      <c r="I77" s="31">
        <f>ROUND(H77*G77,2)</f>
        <v>0</v>
      </c>
      <c r="J77" s="46" t="s">
        <v>25</v>
      </c>
      <c r="K77" s="31">
        <f>IF(ISNUMBER(J77),ROUND(I77*(J77+1),2),0)</f>
        <v>0</v>
      </c>
      <c r="L77" s="10"/>
      <c r="M77" s="4"/>
      <c r="N77" s="4"/>
      <c r="O77" s="4"/>
      <c r="P77" s="4"/>
      <c r="Q77" s="1">
        <f>IF(ISNUMBER(J77),IF(G77&gt;0,IF(H77&gt;0,I77,0),0),0)</f>
        <v>0</v>
      </c>
      <c r="R77" s="1">
        <f>IF(ISNUMBER(J77)=FALSE,I77,0)</f>
        <v>0</v>
      </c>
    </row>
    <row r="78" spans="1:19">
      <c r="A78" s="9"/>
      <c r="B78" s="283" t="s">
        <v>27</v>
      </c>
      <c r="C78" s="276"/>
      <c r="D78" s="276"/>
      <c r="E78" s="27" t="s">
        <v>25</v>
      </c>
      <c r="F78" s="3"/>
      <c r="G78" s="3"/>
      <c r="H78" s="39"/>
      <c r="I78" s="3"/>
      <c r="J78" s="39"/>
      <c r="K78" s="3"/>
      <c r="L78" s="10"/>
      <c r="M78" s="4"/>
      <c r="N78" s="4"/>
      <c r="O78" s="4"/>
      <c r="P78" s="4"/>
    </row>
    <row r="79" spans="1:19" ht="13.5" thickBot="1">
      <c r="A79" s="9"/>
      <c r="B79" s="281" t="s">
        <v>28</v>
      </c>
      <c r="C79" s="282"/>
      <c r="D79" s="282"/>
      <c r="E79" s="29" t="s">
        <v>25</v>
      </c>
      <c r="F79" s="28"/>
      <c r="G79" s="28"/>
      <c r="H79" s="41"/>
      <c r="I79" s="28"/>
      <c r="J79" s="41"/>
      <c r="K79" s="28"/>
      <c r="L79" s="10"/>
      <c r="M79" s="4"/>
      <c r="N79" s="4"/>
      <c r="O79" s="4"/>
      <c r="P79" s="4"/>
    </row>
    <row r="80" spans="1:19" ht="13.5" thickTop="1">
      <c r="A80" s="9"/>
      <c r="B80" s="22">
        <v>17</v>
      </c>
      <c r="C80" s="23" t="s">
        <v>79</v>
      </c>
      <c r="D80" s="23" t="s">
        <v>25</v>
      </c>
      <c r="E80" s="23" t="s">
        <v>80</v>
      </c>
      <c r="F80" s="24" t="s">
        <v>64</v>
      </c>
      <c r="G80" s="30">
        <f>ROUND(208.5,3)</f>
        <v>208.5</v>
      </c>
      <c r="H80" s="42">
        <f>ROUND(0,2)</f>
        <v>0</v>
      </c>
      <c r="I80" s="31">
        <f>ROUND(H80*G80,2)</f>
        <v>0</v>
      </c>
      <c r="J80" s="46" t="s">
        <v>25</v>
      </c>
      <c r="K80" s="31">
        <f>IF(ISNUMBER(J80),ROUND(I80*(J80+1),2),0)</f>
        <v>0</v>
      </c>
      <c r="L80" s="10"/>
      <c r="M80" s="4"/>
      <c r="N80" s="4"/>
      <c r="O80" s="4"/>
      <c r="P80" s="4"/>
      <c r="Q80" s="1">
        <f>IF(ISNUMBER(J80),IF(G80&gt;0,IF(H80&gt;0,I80,0),0),0)</f>
        <v>0</v>
      </c>
      <c r="R80" s="1">
        <f>IF(ISNUMBER(J80)=FALSE,I80,0)</f>
        <v>0</v>
      </c>
    </row>
    <row r="81" spans="1:19">
      <c r="A81" s="9"/>
      <c r="B81" s="283" t="s">
        <v>27</v>
      </c>
      <c r="C81" s="276"/>
      <c r="D81" s="276"/>
      <c r="E81" s="27" t="s">
        <v>25</v>
      </c>
      <c r="F81" s="3"/>
      <c r="G81" s="3"/>
      <c r="H81" s="39"/>
      <c r="I81" s="3"/>
      <c r="J81" s="39"/>
      <c r="K81" s="3"/>
      <c r="L81" s="10"/>
      <c r="M81" s="4"/>
      <c r="N81" s="4"/>
      <c r="O81" s="4"/>
      <c r="P81" s="4"/>
    </row>
    <row r="82" spans="1:19" ht="13.5" thickBot="1">
      <c r="A82" s="9"/>
      <c r="B82" s="281" t="s">
        <v>28</v>
      </c>
      <c r="C82" s="282"/>
      <c r="D82" s="282"/>
      <c r="E82" s="29" t="s">
        <v>25</v>
      </c>
      <c r="F82" s="28"/>
      <c r="G82" s="28"/>
      <c r="H82" s="41"/>
      <c r="I82" s="28"/>
      <c r="J82" s="41"/>
      <c r="K82" s="28"/>
      <c r="L82" s="10"/>
      <c r="M82" s="4"/>
      <c r="N82" s="4"/>
      <c r="O82" s="4"/>
      <c r="P82" s="4"/>
    </row>
    <row r="83" spans="1:19" ht="13.5" thickTop="1">
      <c r="A83" s="9"/>
      <c r="B83" s="22">
        <v>18</v>
      </c>
      <c r="C83" s="23" t="s">
        <v>81</v>
      </c>
      <c r="D83" s="23" t="s">
        <v>25</v>
      </c>
      <c r="E83" s="23" t="s">
        <v>82</v>
      </c>
      <c r="F83" s="24" t="s">
        <v>64</v>
      </c>
      <c r="G83" s="30">
        <f>ROUND(77.5,3)</f>
        <v>77.5</v>
      </c>
      <c r="H83" s="42">
        <f>ROUND(0,2)</f>
        <v>0</v>
      </c>
      <c r="I83" s="31">
        <f>ROUND(H83*G83,2)</f>
        <v>0</v>
      </c>
      <c r="J83" s="46" t="s">
        <v>25</v>
      </c>
      <c r="K83" s="31">
        <f>IF(ISNUMBER(J83),ROUND(I83*(J83+1),2),0)</f>
        <v>0</v>
      </c>
      <c r="L83" s="10"/>
      <c r="M83" s="4"/>
      <c r="N83" s="4"/>
      <c r="O83" s="4"/>
      <c r="P83" s="4"/>
      <c r="Q83" s="1">
        <f>IF(ISNUMBER(J83),IF(G83&gt;0,IF(H83&gt;0,I83,0),0),0)</f>
        <v>0</v>
      </c>
      <c r="R83" s="1">
        <f>IF(ISNUMBER(J83)=FALSE,I83,0)</f>
        <v>0</v>
      </c>
    </row>
    <row r="84" spans="1:19">
      <c r="A84" s="9"/>
      <c r="B84" s="283" t="s">
        <v>27</v>
      </c>
      <c r="C84" s="276"/>
      <c r="D84" s="276"/>
      <c r="E84" s="27" t="s">
        <v>25</v>
      </c>
      <c r="F84" s="3"/>
      <c r="G84" s="3"/>
      <c r="H84" s="39"/>
      <c r="I84" s="3"/>
      <c r="J84" s="39"/>
      <c r="K84" s="3"/>
      <c r="L84" s="10"/>
      <c r="M84" s="4"/>
      <c r="N84" s="4"/>
      <c r="O84" s="4"/>
      <c r="P84" s="4"/>
    </row>
    <row r="85" spans="1:19" ht="13.5" thickBot="1">
      <c r="A85" s="9"/>
      <c r="B85" s="281" t="s">
        <v>28</v>
      </c>
      <c r="C85" s="282"/>
      <c r="D85" s="282"/>
      <c r="E85" s="29" t="s">
        <v>25</v>
      </c>
      <c r="F85" s="28"/>
      <c r="G85" s="28"/>
      <c r="H85" s="41"/>
      <c r="I85" s="28"/>
      <c r="J85" s="41"/>
      <c r="K85" s="28"/>
      <c r="L85" s="10"/>
      <c r="M85" s="4"/>
      <c r="N85" s="4"/>
      <c r="O85" s="4"/>
      <c r="P85" s="4"/>
    </row>
    <row r="86" spans="1:19" ht="13.5" thickTop="1">
      <c r="A86" s="9"/>
      <c r="B86" s="22">
        <v>19</v>
      </c>
      <c r="C86" s="23" t="s">
        <v>83</v>
      </c>
      <c r="D86" s="23" t="s">
        <v>25</v>
      </c>
      <c r="E86" s="23" t="s">
        <v>84</v>
      </c>
      <c r="F86" s="24" t="s">
        <v>57</v>
      </c>
      <c r="G86" s="30">
        <f>ROUND(1,3)</f>
        <v>1</v>
      </c>
      <c r="H86" s="42">
        <f>ROUND(0,2)</f>
        <v>0</v>
      </c>
      <c r="I86" s="31">
        <f>ROUND(H86*G86,2)</f>
        <v>0</v>
      </c>
      <c r="J86" s="46" t="s">
        <v>25</v>
      </c>
      <c r="K86" s="31">
        <f>IF(ISNUMBER(J86),ROUND(I86*(J86+1),2),0)</f>
        <v>0</v>
      </c>
      <c r="L86" s="10"/>
      <c r="M86" s="4"/>
      <c r="N86" s="4"/>
      <c r="O86" s="4"/>
      <c r="P86" s="4"/>
      <c r="Q86" s="1">
        <f>IF(ISNUMBER(J86),IF(G86&gt;0,IF(H86&gt;0,I86,0),0),0)</f>
        <v>0</v>
      </c>
      <c r="R86" s="1">
        <f>IF(ISNUMBER(J86)=FALSE,I86,0)</f>
        <v>0</v>
      </c>
    </row>
    <row r="87" spans="1:19">
      <c r="A87" s="9"/>
      <c r="B87" s="283" t="s">
        <v>27</v>
      </c>
      <c r="C87" s="276"/>
      <c r="D87" s="276"/>
      <c r="E87" s="27" t="s">
        <v>85</v>
      </c>
      <c r="F87" s="3"/>
      <c r="G87" s="3"/>
      <c r="H87" s="39"/>
      <c r="I87" s="3"/>
      <c r="J87" s="39"/>
      <c r="K87" s="3"/>
      <c r="L87" s="10"/>
      <c r="M87" s="4"/>
      <c r="N87" s="4"/>
      <c r="O87" s="4"/>
      <c r="P87" s="4"/>
    </row>
    <row r="88" spans="1:19" ht="13.5" thickBot="1">
      <c r="A88" s="9"/>
      <c r="B88" s="281" t="s">
        <v>28</v>
      </c>
      <c r="C88" s="282"/>
      <c r="D88" s="282"/>
      <c r="E88" s="29" t="s">
        <v>25</v>
      </c>
      <c r="F88" s="28"/>
      <c r="G88" s="28"/>
      <c r="H88" s="41"/>
      <c r="I88" s="28"/>
      <c r="J88" s="41"/>
      <c r="K88" s="28"/>
      <c r="L88" s="10"/>
      <c r="M88" s="4"/>
      <c r="N88" s="4"/>
      <c r="O88" s="4"/>
      <c r="P88" s="4"/>
    </row>
    <row r="89" spans="1:19" ht="24.95" customHeight="1" thickTop="1" thickBot="1">
      <c r="A89" s="9"/>
      <c r="B89" s="32"/>
      <c r="C89" s="33">
        <v>9</v>
      </c>
      <c r="D89" s="32"/>
      <c r="E89" s="34" t="s">
        <v>87</v>
      </c>
      <c r="F89" s="35" t="s">
        <v>44</v>
      </c>
      <c r="G89" s="36">
        <f>I71+I74+I77+I80+I83+I86</f>
        <v>0</v>
      </c>
      <c r="H89" s="43" t="s">
        <v>45</v>
      </c>
      <c r="I89" s="37">
        <f>IF(COUNT(J71:J89)&gt;0,AVERAGE(J71:J89),0.21)</f>
        <v>0.21</v>
      </c>
      <c r="J89" s="43" t="s">
        <v>46</v>
      </c>
      <c r="K89" s="36">
        <f>ROUND(Q89*(1+I89),2)+R89</f>
        <v>0</v>
      </c>
      <c r="L89" s="10"/>
      <c r="M89" s="4"/>
      <c r="N89" s="4"/>
      <c r="O89" s="4"/>
      <c r="P89" s="4"/>
      <c r="Q89" s="1">
        <f>0+Q71+Q74+Q77+Q80+Q83+Q86</f>
        <v>0</v>
      </c>
      <c r="R89" s="1">
        <f>0+R71+R74+R77+R80+R83+R86</f>
        <v>0</v>
      </c>
      <c r="S89" s="2">
        <f>Q89*(1+I89)+R89</f>
        <v>0</v>
      </c>
    </row>
    <row r="90" spans="1:19">
      <c r="A90" s="11"/>
      <c r="B90" s="5"/>
      <c r="C90" s="5"/>
      <c r="D90" s="5"/>
      <c r="E90" s="38"/>
      <c r="F90" s="5"/>
      <c r="G90" s="5"/>
      <c r="H90" s="44"/>
      <c r="I90" s="5"/>
      <c r="J90" s="44"/>
      <c r="K90" s="5"/>
      <c r="L90" s="12"/>
      <c r="M90" s="4"/>
      <c r="N90" s="4"/>
      <c r="O90" s="4"/>
      <c r="P90" s="4"/>
    </row>
  </sheetData>
  <autoFilter ref="A1:S1" xr:uid="{00000000-0009-0000-0000-000001000000}">
    <filterColumn colId="3" showButton="0"/>
  </autoFilter>
  <mergeCells count="58">
    <mergeCell ref="A1:A2"/>
    <mergeCell ref="A3:F3"/>
    <mergeCell ref="B4:C5"/>
    <mergeCell ref="B6:I6"/>
    <mergeCell ref="D1:E2"/>
    <mergeCell ref="B8:C9"/>
    <mergeCell ref="A10:D10"/>
    <mergeCell ref="A11:G11"/>
    <mergeCell ref="A12:G12"/>
    <mergeCell ref="A13:G13"/>
    <mergeCell ref="B17:C18"/>
    <mergeCell ref="B19:D19"/>
    <mergeCell ref="E19:F19"/>
    <mergeCell ref="B24:C25"/>
    <mergeCell ref="B29:D29"/>
    <mergeCell ref="B20:D20"/>
    <mergeCell ref="B38:D38"/>
    <mergeCell ref="B39:D39"/>
    <mergeCell ref="B41:D41"/>
    <mergeCell ref="B42:D42"/>
    <mergeCell ref="B27:K27"/>
    <mergeCell ref="B30:D30"/>
    <mergeCell ref="B32:D32"/>
    <mergeCell ref="B33:D33"/>
    <mergeCell ref="B35:D35"/>
    <mergeCell ref="B36:D36"/>
    <mergeCell ref="B59:D59"/>
    <mergeCell ref="B46:D46"/>
    <mergeCell ref="B47:D47"/>
    <mergeCell ref="B49:D49"/>
    <mergeCell ref="B50:D50"/>
    <mergeCell ref="B52:D52"/>
    <mergeCell ref="B68:D68"/>
    <mergeCell ref="B44:K44"/>
    <mergeCell ref="B21:D21"/>
    <mergeCell ref="B72:D72"/>
    <mergeCell ref="B73:D73"/>
    <mergeCell ref="B70:K70"/>
    <mergeCell ref="B22:D22"/>
    <mergeCell ref="B61:D61"/>
    <mergeCell ref="B62:D62"/>
    <mergeCell ref="B64:D64"/>
    <mergeCell ref="B65:D65"/>
    <mergeCell ref="B67:D67"/>
    <mergeCell ref="B53:D53"/>
    <mergeCell ref="B55:D55"/>
    <mergeCell ref="B56:D56"/>
    <mergeCell ref="B58:D58"/>
    <mergeCell ref="B75:D75"/>
    <mergeCell ref="B76:D76"/>
    <mergeCell ref="B78:D78"/>
    <mergeCell ref="B79:D79"/>
    <mergeCell ref="B81:D81"/>
    <mergeCell ref="B82:D82"/>
    <mergeCell ref="B84:D84"/>
    <mergeCell ref="B85:D85"/>
    <mergeCell ref="B87:D87"/>
    <mergeCell ref="B88:D88"/>
  </mergeCells>
  <pageMargins left="0.39370078740157499" right="0.39370078740157499" top="0.59055118110236204" bottom="0.39370078740157499" header="0.196850393700787" footer="0.15748031496063"/>
  <pageSetup paperSize="9" fitToHeight="0" orientation="portrait"/>
  <headerFooter>
    <oddFooter>&amp;CLÁVKA PŘES LABE V NYMBURKU | Příprava staveniště&amp;R&amp;P/&amp;N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44C4A-A11F-4562-908B-5AEFEB96B686}">
  <sheetPr>
    <tabColor theme="7" tint="0.39997558519241921"/>
    <pageSetUpPr fitToPage="1"/>
  </sheetPr>
  <dimension ref="A1:U61"/>
  <sheetViews>
    <sheetView showGridLines="0" zoomScaleNormal="100" workbookViewId="0"/>
  </sheetViews>
  <sheetFormatPr defaultRowHeight="15" outlineLevelRow="1"/>
  <cols>
    <col min="1" max="1" width="4.7109375" style="61" customWidth="1"/>
    <col min="2" max="2" width="3.5703125" style="61" customWidth="1"/>
    <col min="3" max="3" width="6.7109375" style="61" customWidth="1"/>
    <col min="4" max="4" width="4.85546875" style="61" customWidth="1"/>
    <col min="5" max="5" width="5" style="61" customWidth="1"/>
    <col min="6" max="6" width="4.7109375" style="61" customWidth="1"/>
    <col min="7" max="7" width="9" style="61" customWidth="1"/>
    <col min="8" max="8" width="15.140625" style="61" customWidth="1"/>
    <col min="9" max="9" width="55.42578125" style="61" customWidth="1"/>
    <col min="10" max="10" width="5" style="61" customWidth="1"/>
    <col min="11" max="11" width="11.7109375" style="61" customWidth="1"/>
    <col min="12" max="12" width="13.5703125" style="61" customWidth="1"/>
    <col min="13" max="13" width="8.140625" style="61" customWidth="1"/>
    <col min="14" max="14" width="15.42578125" style="61" customWidth="1"/>
    <col min="15" max="17" width="11.7109375" style="61" customWidth="1"/>
    <col min="18" max="18" width="6.28515625" style="61" customWidth="1"/>
    <col min="19" max="19" width="15" style="61" customWidth="1"/>
    <col min="20" max="20" width="24.85546875" style="61" customWidth="1"/>
    <col min="21" max="21" width="18.85546875" style="61" customWidth="1"/>
    <col min="22" max="256" width="9.140625" style="61"/>
    <col min="257" max="257" width="4.7109375" style="61" customWidth="1"/>
    <col min="258" max="258" width="3.5703125" style="61" customWidth="1"/>
    <col min="259" max="259" width="6.7109375" style="61" customWidth="1"/>
    <col min="260" max="260" width="4.85546875" style="61" customWidth="1"/>
    <col min="261" max="261" width="5" style="61" customWidth="1"/>
    <col min="262" max="262" width="4.7109375" style="61" customWidth="1"/>
    <col min="263" max="263" width="9" style="61" customWidth="1"/>
    <col min="264" max="264" width="15.140625" style="61" customWidth="1"/>
    <col min="265" max="265" width="55.42578125" style="61" customWidth="1"/>
    <col min="266" max="266" width="5" style="61" customWidth="1"/>
    <col min="267" max="267" width="11.7109375" style="61" customWidth="1"/>
    <col min="268" max="268" width="13.5703125" style="61" customWidth="1"/>
    <col min="269" max="269" width="8.140625" style="61" customWidth="1"/>
    <col min="270" max="270" width="15.42578125" style="61" customWidth="1"/>
    <col min="271" max="273" width="11.7109375" style="61" customWidth="1"/>
    <col min="274" max="274" width="6.28515625" style="61" customWidth="1"/>
    <col min="275" max="275" width="15" style="61" customWidth="1"/>
    <col min="276" max="276" width="24.85546875" style="61" customWidth="1"/>
    <col min="277" max="277" width="18.85546875" style="61" customWidth="1"/>
    <col min="278" max="512" width="9.140625" style="61"/>
    <col min="513" max="513" width="4.7109375" style="61" customWidth="1"/>
    <col min="514" max="514" width="3.5703125" style="61" customWidth="1"/>
    <col min="515" max="515" width="6.7109375" style="61" customWidth="1"/>
    <col min="516" max="516" width="4.85546875" style="61" customWidth="1"/>
    <col min="517" max="517" width="5" style="61" customWidth="1"/>
    <col min="518" max="518" width="4.7109375" style="61" customWidth="1"/>
    <col min="519" max="519" width="9" style="61" customWidth="1"/>
    <col min="520" max="520" width="15.140625" style="61" customWidth="1"/>
    <col min="521" max="521" width="55.42578125" style="61" customWidth="1"/>
    <col min="522" max="522" width="5" style="61" customWidth="1"/>
    <col min="523" max="523" width="11.7109375" style="61" customWidth="1"/>
    <col min="524" max="524" width="13.5703125" style="61" customWidth="1"/>
    <col min="525" max="525" width="8.140625" style="61" customWidth="1"/>
    <col min="526" max="526" width="15.42578125" style="61" customWidth="1"/>
    <col min="527" max="529" width="11.7109375" style="61" customWidth="1"/>
    <col min="530" max="530" width="6.28515625" style="61" customWidth="1"/>
    <col min="531" max="531" width="15" style="61" customWidth="1"/>
    <col min="532" max="532" width="24.85546875" style="61" customWidth="1"/>
    <col min="533" max="533" width="18.85546875" style="61" customWidth="1"/>
    <col min="534" max="768" width="9.140625" style="61"/>
    <col min="769" max="769" width="4.7109375" style="61" customWidth="1"/>
    <col min="770" max="770" width="3.5703125" style="61" customWidth="1"/>
    <col min="771" max="771" width="6.7109375" style="61" customWidth="1"/>
    <col min="772" max="772" width="4.85546875" style="61" customWidth="1"/>
    <col min="773" max="773" width="5" style="61" customWidth="1"/>
    <col min="774" max="774" width="4.7109375" style="61" customWidth="1"/>
    <col min="775" max="775" width="9" style="61" customWidth="1"/>
    <col min="776" max="776" width="15.140625" style="61" customWidth="1"/>
    <col min="777" max="777" width="55.42578125" style="61" customWidth="1"/>
    <col min="778" max="778" width="5" style="61" customWidth="1"/>
    <col min="779" max="779" width="11.7109375" style="61" customWidth="1"/>
    <col min="780" max="780" width="13.5703125" style="61" customWidth="1"/>
    <col min="781" max="781" width="8.140625" style="61" customWidth="1"/>
    <col min="782" max="782" width="15.42578125" style="61" customWidth="1"/>
    <col min="783" max="785" width="11.7109375" style="61" customWidth="1"/>
    <col min="786" max="786" width="6.28515625" style="61" customWidth="1"/>
    <col min="787" max="787" width="15" style="61" customWidth="1"/>
    <col min="788" max="788" width="24.85546875" style="61" customWidth="1"/>
    <col min="789" max="789" width="18.85546875" style="61" customWidth="1"/>
    <col min="790" max="1024" width="9.140625" style="61"/>
    <col min="1025" max="1025" width="4.7109375" style="61" customWidth="1"/>
    <col min="1026" max="1026" width="3.5703125" style="61" customWidth="1"/>
    <col min="1027" max="1027" width="6.7109375" style="61" customWidth="1"/>
    <col min="1028" max="1028" width="4.85546875" style="61" customWidth="1"/>
    <col min="1029" max="1029" width="5" style="61" customWidth="1"/>
    <col min="1030" max="1030" width="4.7109375" style="61" customWidth="1"/>
    <col min="1031" max="1031" width="9" style="61" customWidth="1"/>
    <col min="1032" max="1032" width="15.140625" style="61" customWidth="1"/>
    <col min="1033" max="1033" width="55.42578125" style="61" customWidth="1"/>
    <col min="1034" max="1034" width="5" style="61" customWidth="1"/>
    <col min="1035" max="1035" width="11.7109375" style="61" customWidth="1"/>
    <col min="1036" max="1036" width="13.5703125" style="61" customWidth="1"/>
    <col min="1037" max="1037" width="8.140625" style="61" customWidth="1"/>
    <col min="1038" max="1038" width="15.42578125" style="61" customWidth="1"/>
    <col min="1039" max="1041" width="11.7109375" style="61" customWidth="1"/>
    <col min="1042" max="1042" width="6.28515625" style="61" customWidth="1"/>
    <col min="1043" max="1043" width="15" style="61" customWidth="1"/>
    <col min="1044" max="1044" width="24.85546875" style="61" customWidth="1"/>
    <col min="1045" max="1045" width="18.85546875" style="61" customWidth="1"/>
    <col min="1046" max="1280" width="9.140625" style="61"/>
    <col min="1281" max="1281" width="4.7109375" style="61" customWidth="1"/>
    <col min="1282" max="1282" width="3.5703125" style="61" customWidth="1"/>
    <col min="1283" max="1283" width="6.7109375" style="61" customWidth="1"/>
    <col min="1284" max="1284" width="4.85546875" style="61" customWidth="1"/>
    <col min="1285" max="1285" width="5" style="61" customWidth="1"/>
    <col min="1286" max="1286" width="4.7109375" style="61" customWidth="1"/>
    <col min="1287" max="1287" width="9" style="61" customWidth="1"/>
    <col min="1288" max="1288" width="15.140625" style="61" customWidth="1"/>
    <col min="1289" max="1289" width="55.42578125" style="61" customWidth="1"/>
    <col min="1290" max="1290" width="5" style="61" customWidth="1"/>
    <col min="1291" max="1291" width="11.7109375" style="61" customWidth="1"/>
    <col min="1292" max="1292" width="13.5703125" style="61" customWidth="1"/>
    <col min="1293" max="1293" width="8.140625" style="61" customWidth="1"/>
    <col min="1294" max="1294" width="15.42578125" style="61" customWidth="1"/>
    <col min="1295" max="1297" width="11.7109375" style="61" customWidth="1"/>
    <col min="1298" max="1298" width="6.28515625" style="61" customWidth="1"/>
    <col min="1299" max="1299" width="15" style="61" customWidth="1"/>
    <col min="1300" max="1300" width="24.85546875" style="61" customWidth="1"/>
    <col min="1301" max="1301" width="18.85546875" style="61" customWidth="1"/>
    <col min="1302" max="1536" width="9.140625" style="61"/>
    <col min="1537" max="1537" width="4.7109375" style="61" customWidth="1"/>
    <col min="1538" max="1538" width="3.5703125" style="61" customWidth="1"/>
    <col min="1539" max="1539" width="6.7109375" style="61" customWidth="1"/>
    <col min="1540" max="1540" width="4.85546875" style="61" customWidth="1"/>
    <col min="1541" max="1541" width="5" style="61" customWidth="1"/>
    <col min="1542" max="1542" width="4.7109375" style="61" customWidth="1"/>
    <col min="1543" max="1543" width="9" style="61" customWidth="1"/>
    <col min="1544" max="1544" width="15.140625" style="61" customWidth="1"/>
    <col min="1545" max="1545" width="55.42578125" style="61" customWidth="1"/>
    <col min="1546" max="1546" width="5" style="61" customWidth="1"/>
    <col min="1547" max="1547" width="11.7109375" style="61" customWidth="1"/>
    <col min="1548" max="1548" width="13.5703125" style="61" customWidth="1"/>
    <col min="1549" max="1549" width="8.140625" style="61" customWidth="1"/>
    <col min="1550" max="1550" width="15.42578125" style="61" customWidth="1"/>
    <col min="1551" max="1553" width="11.7109375" style="61" customWidth="1"/>
    <col min="1554" max="1554" width="6.28515625" style="61" customWidth="1"/>
    <col min="1555" max="1555" width="15" style="61" customWidth="1"/>
    <col min="1556" max="1556" width="24.85546875" style="61" customWidth="1"/>
    <col min="1557" max="1557" width="18.85546875" style="61" customWidth="1"/>
    <col min="1558" max="1792" width="9.140625" style="61"/>
    <col min="1793" max="1793" width="4.7109375" style="61" customWidth="1"/>
    <col min="1794" max="1794" width="3.5703125" style="61" customWidth="1"/>
    <col min="1795" max="1795" width="6.7109375" style="61" customWidth="1"/>
    <col min="1796" max="1796" width="4.85546875" style="61" customWidth="1"/>
    <col min="1797" max="1797" width="5" style="61" customWidth="1"/>
    <col min="1798" max="1798" width="4.7109375" style="61" customWidth="1"/>
    <col min="1799" max="1799" width="9" style="61" customWidth="1"/>
    <col min="1800" max="1800" width="15.140625" style="61" customWidth="1"/>
    <col min="1801" max="1801" width="55.42578125" style="61" customWidth="1"/>
    <col min="1802" max="1802" width="5" style="61" customWidth="1"/>
    <col min="1803" max="1803" width="11.7109375" style="61" customWidth="1"/>
    <col min="1804" max="1804" width="13.5703125" style="61" customWidth="1"/>
    <col min="1805" max="1805" width="8.140625" style="61" customWidth="1"/>
    <col min="1806" max="1806" width="15.42578125" style="61" customWidth="1"/>
    <col min="1807" max="1809" width="11.7109375" style="61" customWidth="1"/>
    <col min="1810" max="1810" width="6.28515625" style="61" customWidth="1"/>
    <col min="1811" max="1811" width="15" style="61" customWidth="1"/>
    <col min="1812" max="1812" width="24.85546875" style="61" customWidth="1"/>
    <col min="1813" max="1813" width="18.85546875" style="61" customWidth="1"/>
    <col min="1814" max="2048" width="9.140625" style="61"/>
    <col min="2049" max="2049" width="4.7109375" style="61" customWidth="1"/>
    <col min="2050" max="2050" width="3.5703125" style="61" customWidth="1"/>
    <col min="2051" max="2051" width="6.7109375" style="61" customWidth="1"/>
    <col min="2052" max="2052" width="4.85546875" style="61" customWidth="1"/>
    <col min="2053" max="2053" width="5" style="61" customWidth="1"/>
    <col min="2054" max="2054" width="4.7109375" style="61" customWidth="1"/>
    <col min="2055" max="2055" width="9" style="61" customWidth="1"/>
    <col min="2056" max="2056" width="15.140625" style="61" customWidth="1"/>
    <col min="2057" max="2057" width="55.42578125" style="61" customWidth="1"/>
    <col min="2058" max="2058" width="5" style="61" customWidth="1"/>
    <col min="2059" max="2059" width="11.7109375" style="61" customWidth="1"/>
    <col min="2060" max="2060" width="13.5703125" style="61" customWidth="1"/>
    <col min="2061" max="2061" width="8.140625" style="61" customWidth="1"/>
    <col min="2062" max="2062" width="15.42578125" style="61" customWidth="1"/>
    <col min="2063" max="2065" width="11.7109375" style="61" customWidth="1"/>
    <col min="2066" max="2066" width="6.28515625" style="61" customWidth="1"/>
    <col min="2067" max="2067" width="15" style="61" customWidth="1"/>
    <col min="2068" max="2068" width="24.85546875" style="61" customWidth="1"/>
    <col min="2069" max="2069" width="18.85546875" style="61" customWidth="1"/>
    <col min="2070" max="2304" width="9.140625" style="61"/>
    <col min="2305" max="2305" width="4.7109375" style="61" customWidth="1"/>
    <col min="2306" max="2306" width="3.5703125" style="61" customWidth="1"/>
    <col min="2307" max="2307" width="6.7109375" style="61" customWidth="1"/>
    <col min="2308" max="2308" width="4.85546875" style="61" customWidth="1"/>
    <col min="2309" max="2309" width="5" style="61" customWidth="1"/>
    <col min="2310" max="2310" width="4.7109375" style="61" customWidth="1"/>
    <col min="2311" max="2311" width="9" style="61" customWidth="1"/>
    <col min="2312" max="2312" width="15.140625" style="61" customWidth="1"/>
    <col min="2313" max="2313" width="55.42578125" style="61" customWidth="1"/>
    <col min="2314" max="2314" width="5" style="61" customWidth="1"/>
    <col min="2315" max="2315" width="11.7109375" style="61" customWidth="1"/>
    <col min="2316" max="2316" width="13.5703125" style="61" customWidth="1"/>
    <col min="2317" max="2317" width="8.140625" style="61" customWidth="1"/>
    <col min="2318" max="2318" width="15.42578125" style="61" customWidth="1"/>
    <col min="2319" max="2321" width="11.7109375" style="61" customWidth="1"/>
    <col min="2322" max="2322" width="6.28515625" style="61" customWidth="1"/>
    <col min="2323" max="2323" width="15" style="61" customWidth="1"/>
    <col min="2324" max="2324" width="24.85546875" style="61" customWidth="1"/>
    <col min="2325" max="2325" width="18.85546875" style="61" customWidth="1"/>
    <col min="2326" max="2560" width="9.140625" style="61"/>
    <col min="2561" max="2561" width="4.7109375" style="61" customWidth="1"/>
    <col min="2562" max="2562" width="3.5703125" style="61" customWidth="1"/>
    <col min="2563" max="2563" width="6.7109375" style="61" customWidth="1"/>
    <col min="2564" max="2564" width="4.85546875" style="61" customWidth="1"/>
    <col min="2565" max="2565" width="5" style="61" customWidth="1"/>
    <col min="2566" max="2566" width="4.7109375" style="61" customWidth="1"/>
    <col min="2567" max="2567" width="9" style="61" customWidth="1"/>
    <col min="2568" max="2568" width="15.140625" style="61" customWidth="1"/>
    <col min="2569" max="2569" width="55.42578125" style="61" customWidth="1"/>
    <col min="2570" max="2570" width="5" style="61" customWidth="1"/>
    <col min="2571" max="2571" width="11.7109375" style="61" customWidth="1"/>
    <col min="2572" max="2572" width="13.5703125" style="61" customWidth="1"/>
    <col min="2573" max="2573" width="8.140625" style="61" customWidth="1"/>
    <col min="2574" max="2574" width="15.42578125" style="61" customWidth="1"/>
    <col min="2575" max="2577" width="11.7109375" style="61" customWidth="1"/>
    <col min="2578" max="2578" width="6.28515625" style="61" customWidth="1"/>
    <col min="2579" max="2579" width="15" style="61" customWidth="1"/>
    <col min="2580" max="2580" width="24.85546875" style="61" customWidth="1"/>
    <col min="2581" max="2581" width="18.85546875" style="61" customWidth="1"/>
    <col min="2582" max="2816" width="9.140625" style="61"/>
    <col min="2817" max="2817" width="4.7109375" style="61" customWidth="1"/>
    <col min="2818" max="2818" width="3.5703125" style="61" customWidth="1"/>
    <col min="2819" max="2819" width="6.7109375" style="61" customWidth="1"/>
    <col min="2820" max="2820" width="4.85546875" style="61" customWidth="1"/>
    <col min="2821" max="2821" width="5" style="61" customWidth="1"/>
    <col min="2822" max="2822" width="4.7109375" style="61" customWidth="1"/>
    <col min="2823" max="2823" width="9" style="61" customWidth="1"/>
    <col min="2824" max="2824" width="15.140625" style="61" customWidth="1"/>
    <col min="2825" max="2825" width="55.42578125" style="61" customWidth="1"/>
    <col min="2826" max="2826" width="5" style="61" customWidth="1"/>
    <col min="2827" max="2827" width="11.7109375" style="61" customWidth="1"/>
    <col min="2828" max="2828" width="13.5703125" style="61" customWidth="1"/>
    <col min="2829" max="2829" width="8.140625" style="61" customWidth="1"/>
    <col min="2830" max="2830" width="15.42578125" style="61" customWidth="1"/>
    <col min="2831" max="2833" width="11.7109375" style="61" customWidth="1"/>
    <col min="2834" max="2834" width="6.28515625" style="61" customWidth="1"/>
    <col min="2835" max="2835" width="15" style="61" customWidth="1"/>
    <col min="2836" max="2836" width="24.85546875" style="61" customWidth="1"/>
    <col min="2837" max="2837" width="18.85546875" style="61" customWidth="1"/>
    <col min="2838" max="3072" width="9.140625" style="61"/>
    <col min="3073" max="3073" width="4.7109375" style="61" customWidth="1"/>
    <col min="3074" max="3074" width="3.5703125" style="61" customWidth="1"/>
    <col min="3075" max="3075" width="6.7109375" style="61" customWidth="1"/>
    <col min="3076" max="3076" width="4.85546875" style="61" customWidth="1"/>
    <col min="3077" max="3077" width="5" style="61" customWidth="1"/>
    <col min="3078" max="3078" width="4.7109375" style="61" customWidth="1"/>
    <col min="3079" max="3079" width="9" style="61" customWidth="1"/>
    <col min="3080" max="3080" width="15.140625" style="61" customWidth="1"/>
    <col min="3081" max="3081" width="55.42578125" style="61" customWidth="1"/>
    <col min="3082" max="3082" width="5" style="61" customWidth="1"/>
    <col min="3083" max="3083" width="11.7109375" style="61" customWidth="1"/>
    <col min="3084" max="3084" width="13.5703125" style="61" customWidth="1"/>
    <col min="3085" max="3085" width="8.140625" style="61" customWidth="1"/>
    <col min="3086" max="3086" width="15.42578125" style="61" customWidth="1"/>
    <col min="3087" max="3089" width="11.7109375" style="61" customWidth="1"/>
    <col min="3090" max="3090" width="6.28515625" style="61" customWidth="1"/>
    <col min="3091" max="3091" width="15" style="61" customWidth="1"/>
    <col min="3092" max="3092" width="24.85546875" style="61" customWidth="1"/>
    <col min="3093" max="3093" width="18.85546875" style="61" customWidth="1"/>
    <col min="3094" max="3328" width="9.140625" style="61"/>
    <col min="3329" max="3329" width="4.7109375" style="61" customWidth="1"/>
    <col min="3330" max="3330" width="3.5703125" style="61" customWidth="1"/>
    <col min="3331" max="3331" width="6.7109375" style="61" customWidth="1"/>
    <col min="3332" max="3332" width="4.85546875" style="61" customWidth="1"/>
    <col min="3333" max="3333" width="5" style="61" customWidth="1"/>
    <col min="3334" max="3334" width="4.7109375" style="61" customWidth="1"/>
    <col min="3335" max="3335" width="9" style="61" customWidth="1"/>
    <col min="3336" max="3336" width="15.140625" style="61" customWidth="1"/>
    <col min="3337" max="3337" width="55.42578125" style="61" customWidth="1"/>
    <col min="3338" max="3338" width="5" style="61" customWidth="1"/>
    <col min="3339" max="3339" width="11.7109375" style="61" customWidth="1"/>
    <col min="3340" max="3340" width="13.5703125" style="61" customWidth="1"/>
    <col min="3341" max="3341" width="8.140625" style="61" customWidth="1"/>
    <col min="3342" max="3342" width="15.42578125" style="61" customWidth="1"/>
    <col min="3343" max="3345" width="11.7109375" style="61" customWidth="1"/>
    <col min="3346" max="3346" width="6.28515625" style="61" customWidth="1"/>
    <col min="3347" max="3347" width="15" style="61" customWidth="1"/>
    <col min="3348" max="3348" width="24.85546875" style="61" customWidth="1"/>
    <col min="3349" max="3349" width="18.85546875" style="61" customWidth="1"/>
    <col min="3350" max="3584" width="9.140625" style="61"/>
    <col min="3585" max="3585" width="4.7109375" style="61" customWidth="1"/>
    <col min="3586" max="3586" width="3.5703125" style="61" customWidth="1"/>
    <col min="3587" max="3587" width="6.7109375" style="61" customWidth="1"/>
    <col min="3588" max="3588" width="4.85546875" style="61" customWidth="1"/>
    <col min="3589" max="3589" width="5" style="61" customWidth="1"/>
    <col min="3590" max="3590" width="4.7109375" style="61" customWidth="1"/>
    <col min="3591" max="3591" width="9" style="61" customWidth="1"/>
    <col min="3592" max="3592" width="15.140625" style="61" customWidth="1"/>
    <col min="3593" max="3593" width="55.42578125" style="61" customWidth="1"/>
    <col min="3594" max="3594" width="5" style="61" customWidth="1"/>
    <col min="3595" max="3595" width="11.7109375" style="61" customWidth="1"/>
    <col min="3596" max="3596" width="13.5703125" style="61" customWidth="1"/>
    <col min="3597" max="3597" width="8.140625" style="61" customWidth="1"/>
    <col min="3598" max="3598" width="15.42578125" style="61" customWidth="1"/>
    <col min="3599" max="3601" width="11.7109375" style="61" customWidth="1"/>
    <col min="3602" max="3602" width="6.28515625" style="61" customWidth="1"/>
    <col min="3603" max="3603" width="15" style="61" customWidth="1"/>
    <col min="3604" max="3604" width="24.85546875" style="61" customWidth="1"/>
    <col min="3605" max="3605" width="18.85546875" style="61" customWidth="1"/>
    <col min="3606" max="3840" width="9.140625" style="61"/>
    <col min="3841" max="3841" width="4.7109375" style="61" customWidth="1"/>
    <col min="3842" max="3842" width="3.5703125" style="61" customWidth="1"/>
    <col min="3843" max="3843" width="6.7109375" style="61" customWidth="1"/>
    <col min="3844" max="3844" width="4.85546875" style="61" customWidth="1"/>
    <col min="3845" max="3845" width="5" style="61" customWidth="1"/>
    <col min="3846" max="3846" width="4.7109375" style="61" customWidth="1"/>
    <col min="3847" max="3847" width="9" style="61" customWidth="1"/>
    <col min="3848" max="3848" width="15.140625" style="61" customWidth="1"/>
    <col min="3849" max="3849" width="55.42578125" style="61" customWidth="1"/>
    <col min="3850" max="3850" width="5" style="61" customWidth="1"/>
    <col min="3851" max="3851" width="11.7109375" style="61" customWidth="1"/>
    <col min="3852" max="3852" width="13.5703125" style="61" customWidth="1"/>
    <col min="3853" max="3853" width="8.140625" style="61" customWidth="1"/>
    <col min="3854" max="3854" width="15.42578125" style="61" customWidth="1"/>
    <col min="3855" max="3857" width="11.7109375" style="61" customWidth="1"/>
    <col min="3858" max="3858" width="6.28515625" style="61" customWidth="1"/>
    <col min="3859" max="3859" width="15" style="61" customWidth="1"/>
    <col min="3860" max="3860" width="24.85546875" style="61" customWidth="1"/>
    <col min="3861" max="3861" width="18.85546875" style="61" customWidth="1"/>
    <col min="3862" max="4096" width="9.140625" style="61"/>
    <col min="4097" max="4097" width="4.7109375" style="61" customWidth="1"/>
    <col min="4098" max="4098" width="3.5703125" style="61" customWidth="1"/>
    <col min="4099" max="4099" width="6.7109375" style="61" customWidth="1"/>
    <col min="4100" max="4100" width="4.85546875" style="61" customWidth="1"/>
    <col min="4101" max="4101" width="5" style="61" customWidth="1"/>
    <col min="4102" max="4102" width="4.7109375" style="61" customWidth="1"/>
    <col min="4103" max="4103" width="9" style="61" customWidth="1"/>
    <col min="4104" max="4104" width="15.140625" style="61" customWidth="1"/>
    <col min="4105" max="4105" width="55.42578125" style="61" customWidth="1"/>
    <col min="4106" max="4106" width="5" style="61" customWidth="1"/>
    <col min="4107" max="4107" width="11.7109375" style="61" customWidth="1"/>
    <col min="4108" max="4108" width="13.5703125" style="61" customWidth="1"/>
    <col min="4109" max="4109" width="8.140625" style="61" customWidth="1"/>
    <col min="4110" max="4110" width="15.42578125" style="61" customWidth="1"/>
    <col min="4111" max="4113" width="11.7109375" style="61" customWidth="1"/>
    <col min="4114" max="4114" width="6.28515625" style="61" customWidth="1"/>
    <col min="4115" max="4115" width="15" style="61" customWidth="1"/>
    <col min="4116" max="4116" width="24.85546875" style="61" customWidth="1"/>
    <col min="4117" max="4117" width="18.85546875" style="61" customWidth="1"/>
    <col min="4118" max="4352" width="9.140625" style="61"/>
    <col min="4353" max="4353" width="4.7109375" style="61" customWidth="1"/>
    <col min="4354" max="4354" width="3.5703125" style="61" customWidth="1"/>
    <col min="4355" max="4355" width="6.7109375" style="61" customWidth="1"/>
    <col min="4356" max="4356" width="4.85546875" style="61" customWidth="1"/>
    <col min="4357" max="4357" width="5" style="61" customWidth="1"/>
    <col min="4358" max="4358" width="4.7109375" style="61" customWidth="1"/>
    <col min="4359" max="4359" width="9" style="61" customWidth="1"/>
    <col min="4360" max="4360" width="15.140625" style="61" customWidth="1"/>
    <col min="4361" max="4361" width="55.42578125" style="61" customWidth="1"/>
    <col min="4362" max="4362" width="5" style="61" customWidth="1"/>
    <col min="4363" max="4363" width="11.7109375" style="61" customWidth="1"/>
    <col min="4364" max="4364" width="13.5703125" style="61" customWidth="1"/>
    <col min="4365" max="4365" width="8.140625" style="61" customWidth="1"/>
    <col min="4366" max="4366" width="15.42578125" style="61" customWidth="1"/>
    <col min="4367" max="4369" width="11.7109375" style="61" customWidth="1"/>
    <col min="4370" max="4370" width="6.28515625" style="61" customWidth="1"/>
    <col min="4371" max="4371" width="15" style="61" customWidth="1"/>
    <col min="4372" max="4372" width="24.85546875" style="61" customWidth="1"/>
    <col min="4373" max="4373" width="18.85546875" style="61" customWidth="1"/>
    <col min="4374" max="4608" width="9.140625" style="61"/>
    <col min="4609" max="4609" width="4.7109375" style="61" customWidth="1"/>
    <col min="4610" max="4610" width="3.5703125" style="61" customWidth="1"/>
    <col min="4611" max="4611" width="6.7109375" style="61" customWidth="1"/>
    <col min="4612" max="4612" width="4.85546875" style="61" customWidth="1"/>
    <col min="4613" max="4613" width="5" style="61" customWidth="1"/>
    <col min="4614" max="4614" width="4.7109375" style="61" customWidth="1"/>
    <col min="4615" max="4615" width="9" style="61" customWidth="1"/>
    <col min="4616" max="4616" width="15.140625" style="61" customWidth="1"/>
    <col min="4617" max="4617" width="55.42578125" style="61" customWidth="1"/>
    <col min="4618" max="4618" width="5" style="61" customWidth="1"/>
    <col min="4619" max="4619" width="11.7109375" style="61" customWidth="1"/>
    <col min="4620" max="4620" width="13.5703125" style="61" customWidth="1"/>
    <col min="4621" max="4621" width="8.140625" style="61" customWidth="1"/>
    <col min="4622" max="4622" width="15.42578125" style="61" customWidth="1"/>
    <col min="4623" max="4625" width="11.7109375" style="61" customWidth="1"/>
    <col min="4626" max="4626" width="6.28515625" style="61" customWidth="1"/>
    <col min="4627" max="4627" width="15" style="61" customWidth="1"/>
    <col min="4628" max="4628" width="24.85546875" style="61" customWidth="1"/>
    <col min="4629" max="4629" width="18.85546875" style="61" customWidth="1"/>
    <col min="4630" max="4864" width="9.140625" style="61"/>
    <col min="4865" max="4865" width="4.7109375" style="61" customWidth="1"/>
    <col min="4866" max="4866" width="3.5703125" style="61" customWidth="1"/>
    <col min="4867" max="4867" width="6.7109375" style="61" customWidth="1"/>
    <col min="4868" max="4868" width="4.85546875" style="61" customWidth="1"/>
    <col min="4869" max="4869" width="5" style="61" customWidth="1"/>
    <col min="4870" max="4870" width="4.7109375" style="61" customWidth="1"/>
    <col min="4871" max="4871" width="9" style="61" customWidth="1"/>
    <col min="4872" max="4872" width="15.140625" style="61" customWidth="1"/>
    <col min="4873" max="4873" width="55.42578125" style="61" customWidth="1"/>
    <col min="4874" max="4874" width="5" style="61" customWidth="1"/>
    <col min="4875" max="4875" width="11.7109375" style="61" customWidth="1"/>
    <col min="4876" max="4876" width="13.5703125" style="61" customWidth="1"/>
    <col min="4877" max="4877" width="8.140625" style="61" customWidth="1"/>
    <col min="4878" max="4878" width="15.42578125" style="61" customWidth="1"/>
    <col min="4879" max="4881" width="11.7109375" style="61" customWidth="1"/>
    <col min="4882" max="4882" width="6.28515625" style="61" customWidth="1"/>
    <col min="4883" max="4883" width="15" style="61" customWidth="1"/>
    <col min="4884" max="4884" width="24.85546875" style="61" customWidth="1"/>
    <col min="4885" max="4885" width="18.85546875" style="61" customWidth="1"/>
    <col min="4886" max="5120" width="9.140625" style="61"/>
    <col min="5121" max="5121" width="4.7109375" style="61" customWidth="1"/>
    <col min="5122" max="5122" width="3.5703125" style="61" customWidth="1"/>
    <col min="5123" max="5123" width="6.7109375" style="61" customWidth="1"/>
    <col min="5124" max="5124" width="4.85546875" style="61" customWidth="1"/>
    <col min="5125" max="5125" width="5" style="61" customWidth="1"/>
    <col min="5126" max="5126" width="4.7109375" style="61" customWidth="1"/>
    <col min="5127" max="5127" width="9" style="61" customWidth="1"/>
    <col min="5128" max="5128" width="15.140625" style="61" customWidth="1"/>
    <col min="5129" max="5129" width="55.42578125" style="61" customWidth="1"/>
    <col min="5130" max="5130" width="5" style="61" customWidth="1"/>
    <col min="5131" max="5131" width="11.7109375" style="61" customWidth="1"/>
    <col min="5132" max="5132" width="13.5703125" style="61" customWidth="1"/>
    <col min="5133" max="5133" width="8.140625" style="61" customWidth="1"/>
    <col min="5134" max="5134" width="15.42578125" style="61" customWidth="1"/>
    <col min="5135" max="5137" width="11.7109375" style="61" customWidth="1"/>
    <col min="5138" max="5138" width="6.28515625" style="61" customWidth="1"/>
    <col min="5139" max="5139" width="15" style="61" customWidth="1"/>
    <col min="5140" max="5140" width="24.85546875" style="61" customWidth="1"/>
    <col min="5141" max="5141" width="18.85546875" style="61" customWidth="1"/>
    <col min="5142" max="5376" width="9.140625" style="61"/>
    <col min="5377" max="5377" width="4.7109375" style="61" customWidth="1"/>
    <col min="5378" max="5378" width="3.5703125" style="61" customWidth="1"/>
    <col min="5379" max="5379" width="6.7109375" style="61" customWidth="1"/>
    <col min="5380" max="5380" width="4.85546875" style="61" customWidth="1"/>
    <col min="5381" max="5381" width="5" style="61" customWidth="1"/>
    <col min="5382" max="5382" width="4.7109375" style="61" customWidth="1"/>
    <col min="5383" max="5383" width="9" style="61" customWidth="1"/>
    <col min="5384" max="5384" width="15.140625" style="61" customWidth="1"/>
    <col min="5385" max="5385" width="55.42578125" style="61" customWidth="1"/>
    <col min="5386" max="5386" width="5" style="61" customWidth="1"/>
    <col min="5387" max="5387" width="11.7109375" style="61" customWidth="1"/>
    <col min="5388" max="5388" width="13.5703125" style="61" customWidth="1"/>
    <col min="5389" max="5389" width="8.140625" style="61" customWidth="1"/>
    <col min="5390" max="5390" width="15.42578125" style="61" customWidth="1"/>
    <col min="5391" max="5393" width="11.7109375" style="61" customWidth="1"/>
    <col min="5394" max="5394" width="6.28515625" style="61" customWidth="1"/>
    <col min="5395" max="5395" width="15" style="61" customWidth="1"/>
    <col min="5396" max="5396" width="24.85546875" style="61" customWidth="1"/>
    <col min="5397" max="5397" width="18.85546875" style="61" customWidth="1"/>
    <col min="5398" max="5632" width="9.140625" style="61"/>
    <col min="5633" max="5633" width="4.7109375" style="61" customWidth="1"/>
    <col min="5634" max="5634" width="3.5703125" style="61" customWidth="1"/>
    <col min="5635" max="5635" width="6.7109375" style="61" customWidth="1"/>
    <col min="5636" max="5636" width="4.85546875" style="61" customWidth="1"/>
    <col min="5637" max="5637" width="5" style="61" customWidth="1"/>
    <col min="5638" max="5638" width="4.7109375" style="61" customWidth="1"/>
    <col min="5639" max="5639" width="9" style="61" customWidth="1"/>
    <col min="5640" max="5640" width="15.140625" style="61" customWidth="1"/>
    <col min="5641" max="5641" width="55.42578125" style="61" customWidth="1"/>
    <col min="5642" max="5642" width="5" style="61" customWidth="1"/>
    <col min="5643" max="5643" width="11.7109375" style="61" customWidth="1"/>
    <col min="5644" max="5644" width="13.5703125" style="61" customWidth="1"/>
    <col min="5645" max="5645" width="8.140625" style="61" customWidth="1"/>
    <col min="5646" max="5646" width="15.42578125" style="61" customWidth="1"/>
    <col min="5647" max="5649" width="11.7109375" style="61" customWidth="1"/>
    <col min="5650" max="5650" width="6.28515625" style="61" customWidth="1"/>
    <col min="5651" max="5651" width="15" style="61" customWidth="1"/>
    <col min="5652" max="5652" width="24.85546875" style="61" customWidth="1"/>
    <col min="5653" max="5653" width="18.85546875" style="61" customWidth="1"/>
    <col min="5654" max="5888" width="9.140625" style="61"/>
    <col min="5889" max="5889" width="4.7109375" style="61" customWidth="1"/>
    <col min="5890" max="5890" width="3.5703125" style="61" customWidth="1"/>
    <col min="5891" max="5891" width="6.7109375" style="61" customWidth="1"/>
    <col min="5892" max="5892" width="4.85546875" style="61" customWidth="1"/>
    <col min="5893" max="5893" width="5" style="61" customWidth="1"/>
    <col min="5894" max="5894" width="4.7109375" style="61" customWidth="1"/>
    <col min="5895" max="5895" width="9" style="61" customWidth="1"/>
    <col min="5896" max="5896" width="15.140625" style="61" customWidth="1"/>
    <col min="5897" max="5897" width="55.42578125" style="61" customWidth="1"/>
    <col min="5898" max="5898" width="5" style="61" customWidth="1"/>
    <col min="5899" max="5899" width="11.7109375" style="61" customWidth="1"/>
    <col min="5900" max="5900" width="13.5703125" style="61" customWidth="1"/>
    <col min="5901" max="5901" width="8.140625" style="61" customWidth="1"/>
    <col min="5902" max="5902" width="15.42578125" style="61" customWidth="1"/>
    <col min="5903" max="5905" width="11.7109375" style="61" customWidth="1"/>
    <col min="5906" max="5906" width="6.28515625" style="61" customWidth="1"/>
    <col min="5907" max="5907" width="15" style="61" customWidth="1"/>
    <col min="5908" max="5908" width="24.85546875" style="61" customWidth="1"/>
    <col min="5909" max="5909" width="18.85546875" style="61" customWidth="1"/>
    <col min="5910" max="6144" width="9.140625" style="61"/>
    <col min="6145" max="6145" width="4.7109375" style="61" customWidth="1"/>
    <col min="6146" max="6146" width="3.5703125" style="61" customWidth="1"/>
    <col min="6147" max="6147" width="6.7109375" style="61" customWidth="1"/>
    <col min="6148" max="6148" width="4.85546875" style="61" customWidth="1"/>
    <col min="6149" max="6149" width="5" style="61" customWidth="1"/>
    <col min="6150" max="6150" width="4.7109375" style="61" customWidth="1"/>
    <col min="6151" max="6151" width="9" style="61" customWidth="1"/>
    <col min="6152" max="6152" width="15.140625" style="61" customWidth="1"/>
    <col min="6153" max="6153" width="55.42578125" style="61" customWidth="1"/>
    <col min="6154" max="6154" width="5" style="61" customWidth="1"/>
    <col min="6155" max="6155" width="11.7109375" style="61" customWidth="1"/>
    <col min="6156" max="6156" width="13.5703125" style="61" customWidth="1"/>
    <col min="6157" max="6157" width="8.140625" style="61" customWidth="1"/>
    <col min="6158" max="6158" width="15.42578125" style="61" customWidth="1"/>
    <col min="6159" max="6161" width="11.7109375" style="61" customWidth="1"/>
    <col min="6162" max="6162" width="6.28515625" style="61" customWidth="1"/>
    <col min="6163" max="6163" width="15" style="61" customWidth="1"/>
    <col min="6164" max="6164" width="24.85546875" style="61" customWidth="1"/>
    <col min="6165" max="6165" width="18.85546875" style="61" customWidth="1"/>
    <col min="6166" max="6400" width="9.140625" style="61"/>
    <col min="6401" max="6401" width="4.7109375" style="61" customWidth="1"/>
    <col min="6402" max="6402" width="3.5703125" style="61" customWidth="1"/>
    <col min="6403" max="6403" width="6.7109375" style="61" customWidth="1"/>
    <col min="6404" max="6404" width="4.85546875" style="61" customWidth="1"/>
    <col min="6405" max="6405" width="5" style="61" customWidth="1"/>
    <col min="6406" max="6406" width="4.7109375" style="61" customWidth="1"/>
    <col min="6407" max="6407" width="9" style="61" customWidth="1"/>
    <col min="6408" max="6408" width="15.140625" style="61" customWidth="1"/>
    <col min="6409" max="6409" width="55.42578125" style="61" customWidth="1"/>
    <col min="6410" max="6410" width="5" style="61" customWidth="1"/>
    <col min="6411" max="6411" width="11.7109375" style="61" customWidth="1"/>
    <col min="6412" max="6412" width="13.5703125" style="61" customWidth="1"/>
    <col min="6413" max="6413" width="8.140625" style="61" customWidth="1"/>
    <col min="6414" max="6414" width="15.42578125" style="61" customWidth="1"/>
    <col min="6415" max="6417" width="11.7109375" style="61" customWidth="1"/>
    <col min="6418" max="6418" width="6.28515625" style="61" customWidth="1"/>
    <col min="6419" max="6419" width="15" style="61" customWidth="1"/>
    <col min="6420" max="6420" width="24.85546875" style="61" customWidth="1"/>
    <col min="6421" max="6421" width="18.85546875" style="61" customWidth="1"/>
    <col min="6422" max="6656" width="9.140625" style="61"/>
    <col min="6657" max="6657" width="4.7109375" style="61" customWidth="1"/>
    <col min="6658" max="6658" width="3.5703125" style="61" customWidth="1"/>
    <col min="6659" max="6659" width="6.7109375" style="61" customWidth="1"/>
    <col min="6660" max="6660" width="4.85546875" style="61" customWidth="1"/>
    <col min="6661" max="6661" width="5" style="61" customWidth="1"/>
    <col min="6662" max="6662" width="4.7109375" style="61" customWidth="1"/>
    <col min="6663" max="6663" width="9" style="61" customWidth="1"/>
    <col min="6664" max="6664" width="15.140625" style="61" customWidth="1"/>
    <col min="6665" max="6665" width="55.42578125" style="61" customWidth="1"/>
    <col min="6666" max="6666" width="5" style="61" customWidth="1"/>
    <col min="6667" max="6667" width="11.7109375" style="61" customWidth="1"/>
    <col min="6668" max="6668" width="13.5703125" style="61" customWidth="1"/>
    <col min="6669" max="6669" width="8.140625" style="61" customWidth="1"/>
    <col min="6670" max="6670" width="15.42578125" style="61" customWidth="1"/>
    <col min="6671" max="6673" width="11.7109375" style="61" customWidth="1"/>
    <col min="6674" max="6674" width="6.28515625" style="61" customWidth="1"/>
    <col min="6675" max="6675" width="15" style="61" customWidth="1"/>
    <col min="6676" max="6676" width="24.85546875" style="61" customWidth="1"/>
    <col min="6677" max="6677" width="18.85546875" style="61" customWidth="1"/>
    <col min="6678" max="6912" width="9.140625" style="61"/>
    <col min="6913" max="6913" width="4.7109375" style="61" customWidth="1"/>
    <col min="6914" max="6914" width="3.5703125" style="61" customWidth="1"/>
    <col min="6915" max="6915" width="6.7109375" style="61" customWidth="1"/>
    <col min="6916" max="6916" width="4.85546875" style="61" customWidth="1"/>
    <col min="6917" max="6917" width="5" style="61" customWidth="1"/>
    <col min="6918" max="6918" width="4.7109375" style="61" customWidth="1"/>
    <col min="6919" max="6919" width="9" style="61" customWidth="1"/>
    <col min="6920" max="6920" width="15.140625" style="61" customWidth="1"/>
    <col min="6921" max="6921" width="55.42578125" style="61" customWidth="1"/>
    <col min="6922" max="6922" width="5" style="61" customWidth="1"/>
    <col min="6923" max="6923" width="11.7109375" style="61" customWidth="1"/>
    <col min="6924" max="6924" width="13.5703125" style="61" customWidth="1"/>
    <col min="6925" max="6925" width="8.140625" style="61" customWidth="1"/>
    <col min="6926" max="6926" width="15.42578125" style="61" customWidth="1"/>
    <col min="6927" max="6929" width="11.7109375" style="61" customWidth="1"/>
    <col min="6930" max="6930" width="6.28515625" style="61" customWidth="1"/>
    <col min="6931" max="6931" width="15" style="61" customWidth="1"/>
    <col min="6932" max="6932" width="24.85546875" style="61" customWidth="1"/>
    <col min="6933" max="6933" width="18.85546875" style="61" customWidth="1"/>
    <col min="6934" max="7168" width="9.140625" style="61"/>
    <col min="7169" max="7169" width="4.7109375" style="61" customWidth="1"/>
    <col min="7170" max="7170" width="3.5703125" style="61" customWidth="1"/>
    <col min="7171" max="7171" width="6.7109375" style="61" customWidth="1"/>
    <col min="7172" max="7172" width="4.85546875" style="61" customWidth="1"/>
    <col min="7173" max="7173" width="5" style="61" customWidth="1"/>
    <col min="7174" max="7174" width="4.7109375" style="61" customWidth="1"/>
    <col min="7175" max="7175" width="9" style="61" customWidth="1"/>
    <col min="7176" max="7176" width="15.140625" style="61" customWidth="1"/>
    <col min="7177" max="7177" width="55.42578125" style="61" customWidth="1"/>
    <col min="7178" max="7178" width="5" style="61" customWidth="1"/>
    <col min="7179" max="7179" width="11.7109375" style="61" customWidth="1"/>
    <col min="7180" max="7180" width="13.5703125" style="61" customWidth="1"/>
    <col min="7181" max="7181" width="8.140625" style="61" customWidth="1"/>
    <col min="7182" max="7182" width="15.42578125" style="61" customWidth="1"/>
    <col min="7183" max="7185" width="11.7109375" style="61" customWidth="1"/>
    <col min="7186" max="7186" width="6.28515625" style="61" customWidth="1"/>
    <col min="7187" max="7187" width="15" style="61" customWidth="1"/>
    <col min="7188" max="7188" width="24.85546875" style="61" customWidth="1"/>
    <col min="7189" max="7189" width="18.85546875" style="61" customWidth="1"/>
    <col min="7190" max="7424" width="9.140625" style="61"/>
    <col min="7425" max="7425" width="4.7109375" style="61" customWidth="1"/>
    <col min="7426" max="7426" width="3.5703125" style="61" customWidth="1"/>
    <col min="7427" max="7427" width="6.7109375" style="61" customWidth="1"/>
    <col min="7428" max="7428" width="4.85546875" style="61" customWidth="1"/>
    <col min="7429" max="7429" width="5" style="61" customWidth="1"/>
    <col min="7430" max="7430" width="4.7109375" style="61" customWidth="1"/>
    <col min="7431" max="7431" width="9" style="61" customWidth="1"/>
    <col min="7432" max="7432" width="15.140625" style="61" customWidth="1"/>
    <col min="7433" max="7433" width="55.42578125" style="61" customWidth="1"/>
    <col min="7434" max="7434" width="5" style="61" customWidth="1"/>
    <col min="7435" max="7435" width="11.7109375" style="61" customWidth="1"/>
    <col min="7436" max="7436" width="13.5703125" style="61" customWidth="1"/>
    <col min="7437" max="7437" width="8.140625" style="61" customWidth="1"/>
    <col min="7438" max="7438" width="15.42578125" style="61" customWidth="1"/>
    <col min="7439" max="7441" width="11.7109375" style="61" customWidth="1"/>
    <col min="7442" max="7442" width="6.28515625" style="61" customWidth="1"/>
    <col min="7443" max="7443" width="15" style="61" customWidth="1"/>
    <col min="7444" max="7444" width="24.85546875" style="61" customWidth="1"/>
    <col min="7445" max="7445" width="18.85546875" style="61" customWidth="1"/>
    <col min="7446" max="7680" width="9.140625" style="61"/>
    <col min="7681" max="7681" width="4.7109375" style="61" customWidth="1"/>
    <col min="7682" max="7682" width="3.5703125" style="61" customWidth="1"/>
    <col min="7683" max="7683" width="6.7109375" style="61" customWidth="1"/>
    <col min="7684" max="7684" width="4.85546875" style="61" customWidth="1"/>
    <col min="7685" max="7685" width="5" style="61" customWidth="1"/>
    <col min="7686" max="7686" width="4.7109375" style="61" customWidth="1"/>
    <col min="7687" max="7687" width="9" style="61" customWidth="1"/>
    <col min="7688" max="7688" width="15.140625" style="61" customWidth="1"/>
    <col min="7689" max="7689" width="55.42578125" style="61" customWidth="1"/>
    <col min="7690" max="7690" width="5" style="61" customWidth="1"/>
    <col min="7691" max="7691" width="11.7109375" style="61" customWidth="1"/>
    <col min="7692" max="7692" width="13.5703125" style="61" customWidth="1"/>
    <col min="7693" max="7693" width="8.140625" style="61" customWidth="1"/>
    <col min="7694" max="7694" width="15.42578125" style="61" customWidth="1"/>
    <col min="7695" max="7697" width="11.7109375" style="61" customWidth="1"/>
    <col min="7698" max="7698" width="6.28515625" style="61" customWidth="1"/>
    <col min="7699" max="7699" width="15" style="61" customWidth="1"/>
    <col min="7700" max="7700" width="24.85546875" style="61" customWidth="1"/>
    <col min="7701" max="7701" width="18.85546875" style="61" customWidth="1"/>
    <col min="7702" max="7936" width="9.140625" style="61"/>
    <col min="7937" max="7937" width="4.7109375" style="61" customWidth="1"/>
    <col min="7938" max="7938" width="3.5703125" style="61" customWidth="1"/>
    <col min="7939" max="7939" width="6.7109375" style="61" customWidth="1"/>
    <col min="7940" max="7940" width="4.85546875" style="61" customWidth="1"/>
    <col min="7941" max="7941" width="5" style="61" customWidth="1"/>
    <col min="7942" max="7942" width="4.7109375" style="61" customWidth="1"/>
    <col min="7943" max="7943" width="9" style="61" customWidth="1"/>
    <col min="7944" max="7944" width="15.140625" style="61" customWidth="1"/>
    <col min="7945" max="7945" width="55.42578125" style="61" customWidth="1"/>
    <col min="7946" max="7946" width="5" style="61" customWidth="1"/>
    <col min="7947" max="7947" width="11.7109375" style="61" customWidth="1"/>
    <col min="7948" max="7948" width="13.5703125" style="61" customWidth="1"/>
    <col min="7949" max="7949" width="8.140625" style="61" customWidth="1"/>
    <col min="7950" max="7950" width="15.42578125" style="61" customWidth="1"/>
    <col min="7951" max="7953" width="11.7109375" style="61" customWidth="1"/>
    <col min="7954" max="7954" width="6.28515625" style="61" customWidth="1"/>
    <col min="7955" max="7955" width="15" style="61" customWidth="1"/>
    <col min="7956" max="7956" width="24.85546875" style="61" customWidth="1"/>
    <col min="7957" max="7957" width="18.85546875" style="61" customWidth="1"/>
    <col min="7958" max="8192" width="9.140625" style="61"/>
    <col min="8193" max="8193" width="4.7109375" style="61" customWidth="1"/>
    <col min="8194" max="8194" width="3.5703125" style="61" customWidth="1"/>
    <col min="8195" max="8195" width="6.7109375" style="61" customWidth="1"/>
    <col min="8196" max="8196" width="4.85546875" style="61" customWidth="1"/>
    <col min="8197" max="8197" width="5" style="61" customWidth="1"/>
    <col min="8198" max="8198" width="4.7109375" style="61" customWidth="1"/>
    <col min="8199" max="8199" width="9" style="61" customWidth="1"/>
    <col min="8200" max="8200" width="15.140625" style="61" customWidth="1"/>
    <col min="8201" max="8201" width="55.42578125" style="61" customWidth="1"/>
    <col min="8202" max="8202" width="5" style="61" customWidth="1"/>
    <col min="8203" max="8203" width="11.7109375" style="61" customWidth="1"/>
    <col min="8204" max="8204" width="13.5703125" style="61" customWidth="1"/>
    <col min="8205" max="8205" width="8.140625" style="61" customWidth="1"/>
    <col min="8206" max="8206" width="15.42578125" style="61" customWidth="1"/>
    <col min="8207" max="8209" width="11.7109375" style="61" customWidth="1"/>
    <col min="8210" max="8210" width="6.28515625" style="61" customWidth="1"/>
    <col min="8211" max="8211" width="15" style="61" customWidth="1"/>
    <col min="8212" max="8212" width="24.85546875" style="61" customWidth="1"/>
    <col min="8213" max="8213" width="18.85546875" style="61" customWidth="1"/>
    <col min="8214" max="8448" width="9.140625" style="61"/>
    <col min="8449" max="8449" width="4.7109375" style="61" customWidth="1"/>
    <col min="8450" max="8450" width="3.5703125" style="61" customWidth="1"/>
    <col min="8451" max="8451" width="6.7109375" style="61" customWidth="1"/>
    <col min="8452" max="8452" width="4.85546875" style="61" customWidth="1"/>
    <col min="8453" max="8453" width="5" style="61" customWidth="1"/>
    <col min="8454" max="8454" width="4.7109375" style="61" customWidth="1"/>
    <col min="8455" max="8455" width="9" style="61" customWidth="1"/>
    <col min="8456" max="8456" width="15.140625" style="61" customWidth="1"/>
    <col min="8457" max="8457" width="55.42578125" style="61" customWidth="1"/>
    <col min="8458" max="8458" width="5" style="61" customWidth="1"/>
    <col min="8459" max="8459" width="11.7109375" style="61" customWidth="1"/>
    <col min="8460" max="8460" width="13.5703125" style="61" customWidth="1"/>
    <col min="8461" max="8461" width="8.140625" style="61" customWidth="1"/>
    <col min="8462" max="8462" width="15.42578125" style="61" customWidth="1"/>
    <col min="8463" max="8465" width="11.7109375" style="61" customWidth="1"/>
    <col min="8466" max="8466" width="6.28515625" style="61" customWidth="1"/>
    <col min="8467" max="8467" width="15" style="61" customWidth="1"/>
    <col min="8468" max="8468" width="24.85546875" style="61" customWidth="1"/>
    <col min="8469" max="8469" width="18.85546875" style="61" customWidth="1"/>
    <col min="8470" max="8704" width="9.140625" style="61"/>
    <col min="8705" max="8705" width="4.7109375" style="61" customWidth="1"/>
    <col min="8706" max="8706" width="3.5703125" style="61" customWidth="1"/>
    <col min="8707" max="8707" width="6.7109375" style="61" customWidth="1"/>
    <col min="8708" max="8708" width="4.85546875" style="61" customWidth="1"/>
    <col min="8709" max="8709" width="5" style="61" customWidth="1"/>
    <col min="8710" max="8710" width="4.7109375" style="61" customWidth="1"/>
    <col min="8711" max="8711" width="9" style="61" customWidth="1"/>
    <col min="8712" max="8712" width="15.140625" style="61" customWidth="1"/>
    <col min="8713" max="8713" width="55.42578125" style="61" customWidth="1"/>
    <col min="8714" max="8714" width="5" style="61" customWidth="1"/>
    <col min="8715" max="8715" width="11.7109375" style="61" customWidth="1"/>
    <col min="8716" max="8716" width="13.5703125" style="61" customWidth="1"/>
    <col min="8717" max="8717" width="8.140625" style="61" customWidth="1"/>
    <col min="8718" max="8718" width="15.42578125" style="61" customWidth="1"/>
    <col min="8719" max="8721" width="11.7109375" style="61" customWidth="1"/>
    <col min="8722" max="8722" width="6.28515625" style="61" customWidth="1"/>
    <col min="8723" max="8723" width="15" style="61" customWidth="1"/>
    <col min="8724" max="8724" width="24.85546875" style="61" customWidth="1"/>
    <col min="8725" max="8725" width="18.85546875" style="61" customWidth="1"/>
    <col min="8726" max="8960" width="9.140625" style="61"/>
    <col min="8961" max="8961" width="4.7109375" style="61" customWidth="1"/>
    <col min="8962" max="8962" width="3.5703125" style="61" customWidth="1"/>
    <col min="8963" max="8963" width="6.7109375" style="61" customWidth="1"/>
    <col min="8964" max="8964" width="4.85546875" style="61" customWidth="1"/>
    <col min="8965" max="8965" width="5" style="61" customWidth="1"/>
    <col min="8966" max="8966" width="4.7109375" style="61" customWidth="1"/>
    <col min="8967" max="8967" width="9" style="61" customWidth="1"/>
    <col min="8968" max="8968" width="15.140625" style="61" customWidth="1"/>
    <col min="8969" max="8969" width="55.42578125" style="61" customWidth="1"/>
    <col min="8970" max="8970" width="5" style="61" customWidth="1"/>
    <col min="8971" max="8971" width="11.7109375" style="61" customWidth="1"/>
    <col min="8972" max="8972" width="13.5703125" style="61" customWidth="1"/>
    <col min="8973" max="8973" width="8.140625" style="61" customWidth="1"/>
    <col min="8974" max="8974" width="15.42578125" style="61" customWidth="1"/>
    <col min="8975" max="8977" width="11.7109375" style="61" customWidth="1"/>
    <col min="8978" max="8978" width="6.28515625" style="61" customWidth="1"/>
    <col min="8979" max="8979" width="15" style="61" customWidth="1"/>
    <col min="8980" max="8980" width="24.85546875" style="61" customWidth="1"/>
    <col min="8981" max="8981" width="18.85546875" style="61" customWidth="1"/>
    <col min="8982" max="9216" width="9.140625" style="61"/>
    <col min="9217" max="9217" width="4.7109375" style="61" customWidth="1"/>
    <col min="9218" max="9218" width="3.5703125" style="61" customWidth="1"/>
    <col min="9219" max="9219" width="6.7109375" style="61" customWidth="1"/>
    <col min="9220" max="9220" width="4.85546875" style="61" customWidth="1"/>
    <col min="9221" max="9221" width="5" style="61" customWidth="1"/>
    <col min="9222" max="9222" width="4.7109375" style="61" customWidth="1"/>
    <col min="9223" max="9223" width="9" style="61" customWidth="1"/>
    <col min="9224" max="9224" width="15.140625" style="61" customWidth="1"/>
    <col min="9225" max="9225" width="55.42578125" style="61" customWidth="1"/>
    <col min="9226" max="9226" width="5" style="61" customWidth="1"/>
    <col min="9227" max="9227" width="11.7109375" style="61" customWidth="1"/>
    <col min="9228" max="9228" width="13.5703125" style="61" customWidth="1"/>
    <col min="9229" max="9229" width="8.140625" style="61" customWidth="1"/>
    <col min="9230" max="9230" width="15.42578125" style="61" customWidth="1"/>
    <col min="9231" max="9233" width="11.7109375" style="61" customWidth="1"/>
    <col min="9234" max="9234" width="6.28515625" style="61" customWidth="1"/>
    <col min="9235" max="9235" width="15" style="61" customWidth="1"/>
    <col min="9236" max="9236" width="24.85546875" style="61" customWidth="1"/>
    <col min="9237" max="9237" width="18.85546875" style="61" customWidth="1"/>
    <col min="9238" max="9472" width="9.140625" style="61"/>
    <col min="9473" max="9473" width="4.7109375" style="61" customWidth="1"/>
    <col min="9474" max="9474" width="3.5703125" style="61" customWidth="1"/>
    <col min="9475" max="9475" width="6.7109375" style="61" customWidth="1"/>
    <col min="9476" max="9476" width="4.85546875" style="61" customWidth="1"/>
    <col min="9477" max="9477" width="5" style="61" customWidth="1"/>
    <col min="9478" max="9478" width="4.7109375" style="61" customWidth="1"/>
    <col min="9479" max="9479" width="9" style="61" customWidth="1"/>
    <col min="9480" max="9480" width="15.140625" style="61" customWidth="1"/>
    <col min="9481" max="9481" width="55.42578125" style="61" customWidth="1"/>
    <col min="9482" max="9482" width="5" style="61" customWidth="1"/>
    <col min="9483" max="9483" width="11.7109375" style="61" customWidth="1"/>
    <col min="9484" max="9484" width="13.5703125" style="61" customWidth="1"/>
    <col min="9485" max="9485" width="8.140625" style="61" customWidth="1"/>
    <col min="9486" max="9486" width="15.42578125" style="61" customWidth="1"/>
    <col min="9487" max="9489" width="11.7109375" style="61" customWidth="1"/>
    <col min="9490" max="9490" width="6.28515625" style="61" customWidth="1"/>
    <col min="9491" max="9491" width="15" style="61" customWidth="1"/>
    <col min="9492" max="9492" width="24.85546875" style="61" customWidth="1"/>
    <col min="9493" max="9493" width="18.85546875" style="61" customWidth="1"/>
    <col min="9494" max="9728" width="9.140625" style="61"/>
    <col min="9729" max="9729" width="4.7109375" style="61" customWidth="1"/>
    <col min="9730" max="9730" width="3.5703125" style="61" customWidth="1"/>
    <col min="9731" max="9731" width="6.7109375" style="61" customWidth="1"/>
    <col min="9732" max="9732" width="4.85546875" style="61" customWidth="1"/>
    <col min="9733" max="9733" width="5" style="61" customWidth="1"/>
    <col min="9734" max="9734" width="4.7109375" style="61" customWidth="1"/>
    <col min="9735" max="9735" width="9" style="61" customWidth="1"/>
    <col min="9736" max="9736" width="15.140625" style="61" customWidth="1"/>
    <col min="9737" max="9737" width="55.42578125" style="61" customWidth="1"/>
    <col min="9738" max="9738" width="5" style="61" customWidth="1"/>
    <col min="9739" max="9739" width="11.7109375" style="61" customWidth="1"/>
    <col min="9740" max="9740" width="13.5703125" style="61" customWidth="1"/>
    <col min="9741" max="9741" width="8.140625" style="61" customWidth="1"/>
    <col min="9742" max="9742" width="15.42578125" style="61" customWidth="1"/>
    <col min="9743" max="9745" width="11.7109375" style="61" customWidth="1"/>
    <col min="9746" max="9746" width="6.28515625" style="61" customWidth="1"/>
    <col min="9747" max="9747" width="15" style="61" customWidth="1"/>
    <col min="9748" max="9748" width="24.85546875" style="61" customWidth="1"/>
    <col min="9749" max="9749" width="18.85546875" style="61" customWidth="1"/>
    <col min="9750" max="9984" width="9.140625" style="61"/>
    <col min="9985" max="9985" width="4.7109375" style="61" customWidth="1"/>
    <col min="9986" max="9986" width="3.5703125" style="61" customWidth="1"/>
    <col min="9987" max="9987" width="6.7109375" style="61" customWidth="1"/>
    <col min="9988" max="9988" width="4.85546875" style="61" customWidth="1"/>
    <col min="9989" max="9989" width="5" style="61" customWidth="1"/>
    <col min="9990" max="9990" width="4.7109375" style="61" customWidth="1"/>
    <col min="9991" max="9991" width="9" style="61" customWidth="1"/>
    <col min="9992" max="9992" width="15.140625" style="61" customWidth="1"/>
    <col min="9993" max="9993" width="55.42578125" style="61" customWidth="1"/>
    <col min="9994" max="9994" width="5" style="61" customWidth="1"/>
    <col min="9995" max="9995" width="11.7109375" style="61" customWidth="1"/>
    <col min="9996" max="9996" width="13.5703125" style="61" customWidth="1"/>
    <col min="9997" max="9997" width="8.140625" style="61" customWidth="1"/>
    <col min="9998" max="9998" width="15.42578125" style="61" customWidth="1"/>
    <col min="9999" max="10001" width="11.7109375" style="61" customWidth="1"/>
    <col min="10002" max="10002" width="6.28515625" style="61" customWidth="1"/>
    <col min="10003" max="10003" width="15" style="61" customWidth="1"/>
    <col min="10004" max="10004" width="24.85546875" style="61" customWidth="1"/>
    <col min="10005" max="10005" width="18.85546875" style="61" customWidth="1"/>
    <col min="10006" max="10240" width="9.140625" style="61"/>
    <col min="10241" max="10241" width="4.7109375" style="61" customWidth="1"/>
    <col min="10242" max="10242" width="3.5703125" style="61" customWidth="1"/>
    <col min="10243" max="10243" width="6.7109375" style="61" customWidth="1"/>
    <col min="10244" max="10244" width="4.85546875" style="61" customWidth="1"/>
    <col min="10245" max="10245" width="5" style="61" customWidth="1"/>
    <col min="10246" max="10246" width="4.7109375" style="61" customWidth="1"/>
    <col min="10247" max="10247" width="9" style="61" customWidth="1"/>
    <col min="10248" max="10248" width="15.140625" style="61" customWidth="1"/>
    <col min="10249" max="10249" width="55.42578125" style="61" customWidth="1"/>
    <col min="10250" max="10250" width="5" style="61" customWidth="1"/>
    <col min="10251" max="10251" width="11.7109375" style="61" customWidth="1"/>
    <col min="10252" max="10252" width="13.5703125" style="61" customWidth="1"/>
    <col min="10253" max="10253" width="8.140625" style="61" customWidth="1"/>
    <col min="10254" max="10254" width="15.42578125" style="61" customWidth="1"/>
    <col min="10255" max="10257" width="11.7109375" style="61" customWidth="1"/>
    <col min="10258" max="10258" width="6.28515625" style="61" customWidth="1"/>
    <col min="10259" max="10259" width="15" style="61" customWidth="1"/>
    <col min="10260" max="10260" width="24.85546875" style="61" customWidth="1"/>
    <col min="10261" max="10261" width="18.85546875" style="61" customWidth="1"/>
    <col min="10262" max="10496" width="9.140625" style="61"/>
    <col min="10497" max="10497" width="4.7109375" style="61" customWidth="1"/>
    <col min="10498" max="10498" width="3.5703125" style="61" customWidth="1"/>
    <col min="10499" max="10499" width="6.7109375" style="61" customWidth="1"/>
    <col min="10500" max="10500" width="4.85546875" style="61" customWidth="1"/>
    <col min="10501" max="10501" width="5" style="61" customWidth="1"/>
    <col min="10502" max="10502" width="4.7109375" style="61" customWidth="1"/>
    <col min="10503" max="10503" width="9" style="61" customWidth="1"/>
    <col min="10504" max="10504" width="15.140625" style="61" customWidth="1"/>
    <col min="10505" max="10505" width="55.42578125" style="61" customWidth="1"/>
    <col min="10506" max="10506" width="5" style="61" customWidth="1"/>
    <col min="10507" max="10507" width="11.7109375" style="61" customWidth="1"/>
    <col min="10508" max="10508" width="13.5703125" style="61" customWidth="1"/>
    <col min="10509" max="10509" width="8.140625" style="61" customWidth="1"/>
    <col min="10510" max="10510" width="15.42578125" style="61" customWidth="1"/>
    <col min="10511" max="10513" width="11.7109375" style="61" customWidth="1"/>
    <col min="10514" max="10514" width="6.28515625" style="61" customWidth="1"/>
    <col min="10515" max="10515" width="15" style="61" customWidth="1"/>
    <col min="10516" max="10516" width="24.85546875" style="61" customWidth="1"/>
    <col min="10517" max="10517" width="18.85546875" style="61" customWidth="1"/>
    <col min="10518" max="10752" width="9.140625" style="61"/>
    <col min="10753" max="10753" width="4.7109375" style="61" customWidth="1"/>
    <col min="10754" max="10754" width="3.5703125" style="61" customWidth="1"/>
    <col min="10755" max="10755" width="6.7109375" style="61" customWidth="1"/>
    <col min="10756" max="10756" width="4.85546875" style="61" customWidth="1"/>
    <col min="10757" max="10757" width="5" style="61" customWidth="1"/>
    <col min="10758" max="10758" width="4.7109375" style="61" customWidth="1"/>
    <col min="10759" max="10759" width="9" style="61" customWidth="1"/>
    <col min="10760" max="10760" width="15.140625" style="61" customWidth="1"/>
    <col min="10761" max="10761" width="55.42578125" style="61" customWidth="1"/>
    <col min="10762" max="10762" width="5" style="61" customWidth="1"/>
    <col min="10763" max="10763" width="11.7109375" style="61" customWidth="1"/>
    <col min="10764" max="10764" width="13.5703125" style="61" customWidth="1"/>
    <col min="10765" max="10765" width="8.140625" style="61" customWidth="1"/>
    <col min="10766" max="10766" width="15.42578125" style="61" customWidth="1"/>
    <col min="10767" max="10769" width="11.7109375" style="61" customWidth="1"/>
    <col min="10770" max="10770" width="6.28515625" style="61" customWidth="1"/>
    <col min="10771" max="10771" width="15" style="61" customWidth="1"/>
    <col min="10772" max="10772" width="24.85546875" style="61" customWidth="1"/>
    <col min="10773" max="10773" width="18.85546875" style="61" customWidth="1"/>
    <col min="10774" max="11008" width="9.140625" style="61"/>
    <col min="11009" max="11009" width="4.7109375" style="61" customWidth="1"/>
    <col min="11010" max="11010" width="3.5703125" style="61" customWidth="1"/>
    <col min="11011" max="11011" width="6.7109375" style="61" customWidth="1"/>
    <col min="11012" max="11012" width="4.85546875" style="61" customWidth="1"/>
    <col min="11013" max="11013" width="5" style="61" customWidth="1"/>
    <col min="11014" max="11014" width="4.7109375" style="61" customWidth="1"/>
    <col min="11015" max="11015" width="9" style="61" customWidth="1"/>
    <col min="11016" max="11016" width="15.140625" style="61" customWidth="1"/>
    <col min="11017" max="11017" width="55.42578125" style="61" customWidth="1"/>
    <col min="11018" max="11018" width="5" style="61" customWidth="1"/>
    <col min="11019" max="11019" width="11.7109375" style="61" customWidth="1"/>
    <col min="11020" max="11020" width="13.5703125" style="61" customWidth="1"/>
    <col min="11021" max="11021" width="8.140625" style="61" customWidth="1"/>
    <col min="11022" max="11022" width="15.42578125" style="61" customWidth="1"/>
    <col min="11023" max="11025" width="11.7109375" style="61" customWidth="1"/>
    <col min="11026" max="11026" width="6.28515625" style="61" customWidth="1"/>
    <col min="11027" max="11027" width="15" style="61" customWidth="1"/>
    <col min="11028" max="11028" width="24.85546875" style="61" customWidth="1"/>
    <col min="11029" max="11029" width="18.85546875" style="61" customWidth="1"/>
    <col min="11030" max="11264" width="9.140625" style="61"/>
    <col min="11265" max="11265" width="4.7109375" style="61" customWidth="1"/>
    <col min="11266" max="11266" width="3.5703125" style="61" customWidth="1"/>
    <col min="11267" max="11267" width="6.7109375" style="61" customWidth="1"/>
    <col min="11268" max="11268" width="4.85546875" style="61" customWidth="1"/>
    <col min="11269" max="11269" width="5" style="61" customWidth="1"/>
    <col min="11270" max="11270" width="4.7109375" style="61" customWidth="1"/>
    <col min="11271" max="11271" width="9" style="61" customWidth="1"/>
    <col min="11272" max="11272" width="15.140625" style="61" customWidth="1"/>
    <col min="11273" max="11273" width="55.42578125" style="61" customWidth="1"/>
    <col min="11274" max="11274" width="5" style="61" customWidth="1"/>
    <col min="11275" max="11275" width="11.7109375" style="61" customWidth="1"/>
    <col min="11276" max="11276" width="13.5703125" style="61" customWidth="1"/>
    <col min="11277" max="11277" width="8.140625" style="61" customWidth="1"/>
    <col min="11278" max="11278" width="15.42578125" style="61" customWidth="1"/>
    <col min="11279" max="11281" width="11.7109375" style="61" customWidth="1"/>
    <col min="11282" max="11282" width="6.28515625" style="61" customWidth="1"/>
    <col min="11283" max="11283" width="15" style="61" customWidth="1"/>
    <col min="11284" max="11284" width="24.85546875" style="61" customWidth="1"/>
    <col min="11285" max="11285" width="18.85546875" style="61" customWidth="1"/>
    <col min="11286" max="11520" width="9.140625" style="61"/>
    <col min="11521" max="11521" width="4.7109375" style="61" customWidth="1"/>
    <col min="11522" max="11522" width="3.5703125" style="61" customWidth="1"/>
    <col min="11523" max="11523" width="6.7109375" style="61" customWidth="1"/>
    <col min="11524" max="11524" width="4.85546875" style="61" customWidth="1"/>
    <col min="11525" max="11525" width="5" style="61" customWidth="1"/>
    <col min="11526" max="11526" width="4.7109375" style="61" customWidth="1"/>
    <col min="11527" max="11527" width="9" style="61" customWidth="1"/>
    <col min="11528" max="11528" width="15.140625" style="61" customWidth="1"/>
    <col min="11529" max="11529" width="55.42578125" style="61" customWidth="1"/>
    <col min="11530" max="11530" width="5" style="61" customWidth="1"/>
    <col min="11531" max="11531" width="11.7109375" style="61" customWidth="1"/>
    <col min="11532" max="11532" width="13.5703125" style="61" customWidth="1"/>
    <col min="11533" max="11533" width="8.140625" style="61" customWidth="1"/>
    <col min="11534" max="11534" width="15.42578125" style="61" customWidth="1"/>
    <col min="11535" max="11537" width="11.7109375" style="61" customWidth="1"/>
    <col min="11538" max="11538" width="6.28515625" style="61" customWidth="1"/>
    <col min="11539" max="11539" width="15" style="61" customWidth="1"/>
    <col min="11540" max="11540" width="24.85546875" style="61" customWidth="1"/>
    <col min="11541" max="11541" width="18.85546875" style="61" customWidth="1"/>
    <col min="11542" max="11776" width="9.140625" style="61"/>
    <col min="11777" max="11777" width="4.7109375" style="61" customWidth="1"/>
    <col min="11778" max="11778" width="3.5703125" style="61" customWidth="1"/>
    <col min="11779" max="11779" width="6.7109375" style="61" customWidth="1"/>
    <col min="11780" max="11780" width="4.85546875" style="61" customWidth="1"/>
    <col min="11781" max="11781" width="5" style="61" customWidth="1"/>
    <col min="11782" max="11782" width="4.7109375" style="61" customWidth="1"/>
    <col min="11783" max="11783" width="9" style="61" customWidth="1"/>
    <col min="11784" max="11784" width="15.140625" style="61" customWidth="1"/>
    <col min="11785" max="11785" width="55.42578125" style="61" customWidth="1"/>
    <col min="11786" max="11786" width="5" style="61" customWidth="1"/>
    <col min="11787" max="11787" width="11.7109375" style="61" customWidth="1"/>
    <col min="11788" max="11788" width="13.5703125" style="61" customWidth="1"/>
    <col min="11789" max="11789" width="8.140625" style="61" customWidth="1"/>
    <col min="11790" max="11790" width="15.42578125" style="61" customWidth="1"/>
    <col min="11791" max="11793" width="11.7109375" style="61" customWidth="1"/>
    <col min="11794" max="11794" width="6.28515625" style="61" customWidth="1"/>
    <col min="11795" max="11795" width="15" style="61" customWidth="1"/>
    <col min="11796" max="11796" width="24.85546875" style="61" customWidth="1"/>
    <col min="11797" max="11797" width="18.85546875" style="61" customWidth="1"/>
    <col min="11798" max="12032" width="9.140625" style="61"/>
    <col min="12033" max="12033" width="4.7109375" style="61" customWidth="1"/>
    <col min="12034" max="12034" width="3.5703125" style="61" customWidth="1"/>
    <col min="12035" max="12035" width="6.7109375" style="61" customWidth="1"/>
    <col min="12036" max="12036" width="4.85546875" style="61" customWidth="1"/>
    <col min="12037" max="12037" width="5" style="61" customWidth="1"/>
    <col min="12038" max="12038" width="4.7109375" style="61" customWidth="1"/>
    <col min="12039" max="12039" width="9" style="61" customWidth="1"/>
    <col min="12040" max="12040" width="15.140625" style="61" customWidth="1"/>
    <col min="12041" max="12041" width="55.42578125" style="61" customWidth="1"/>
    <col min="12042" max="12042" width="5" style="61" customWidth="1"/>
    <col min="12043" max="12043" width="11.7109375" style="61" customWidth="1"/>
    <col min="12044" max="12044" width="13.5703125" style="61" customWidth="1"/>
    <col min="12045" max="12045" width="8.140625" style="61" customWidth="1"/>
    <col min="12046" max="12046" width="15.42578125" style="61" customWidth="1"/>
    <col min="12047" max="12049" width="11.7109375" style="61" customWidth="1"/>
    <col min="12050" max="12050" width="6.28515625" style="61" customWidth="1"/>
    <col min="12051" max="12051" width="15" style="61" customWidth="1"/>
    <col min="12052" max="12052" width="24.85546875" style="61" customWidth="1"/>
    <col min="12053" max="12053" width="18.85546875" style="61" customWidth="1"/>
    <col min="12054" max="12288" width="9.140625" style="61"/>
    <col min="12289" max="12289" width="4.7109375" style="61" customWidth="1"/>
    <col min="12290" max="12290" width="3.5703125" style="61" customWidth="1"/>
    <col min="12291" max="12291" width="6.7109375" style="61" customWidth="1"/>
    <col min="12292" max="12292" width="4.85546875" style="61" customWidth="1"/>
    <col min="12293" max="12293" width="5" style="61" customWidth="1"/>
    <col min="12294" max="12294" width="4.7109375" style="61" customWidth="1"/>
    <col min="12295" max="12295" width="9" style="61" customWidth="1"/>
    <col min="12296" max="12296" width="15.140625" style="61" customWidth="1"/>
    <col min="12297" max="12297" width="55.42578125" style="61" customWidth="1"/>
    <col min="12298" max="12298" width="5" style="61" customWidth="1"/>
    <col min="12299" max="12299" width="11.7109375" style="61" customWidth="1"/>
    <col min="12300" max="12300" width="13.5703125" style="61" customWidth="1"/>
    <col min="12301" max="12301" width="8.140625" style="61" customWidth="1"/>
    <col min="12302" max="12302" width="15.42578125" style="61" customWidth="1"/>
    <col min="12303" max="12305" width="11.7109375" style="61" customWidth="1"/>
    <col min="12306" max="12306" width="6.28515625" style="61" customWidth="1"/>
    <col min="12307" max="12307" width="15" style="61" customWidth="1"/>
    <col min="12308" max="12308" width="24.85546875" style="61" customWidth="1"/>
    <col min="12309" max="12309" width="18.85546875" style="61" customWidth="1"/>
    <col min="12310" max="12544" width="9.140625" style="61"/>
    <col min="12545" max="12545" width="4.7109375" style="61" customWidth="1"/>
    <col min="12546" max="12546" width="3.5703125" style="61" customWidth="1"/>
    <col min="12547" max="12547" width="6.7109375" style="61" customWidth="1"/>
    <col min="12548" max="12548" width="4.85546875" style="61" customWidth="1"/>
    <col min="12549" max="12549" width="5" style="61" customWidth="1"/>
    <col min="12550" max="12550" width="4.7109375" style="61" customWidth="1"/>
    <col min="12551" max="12551" width="9" style="61" customWidth="1"/>
    <col min="12552" max="12552" width="15.140625" style="61" customWidth="1"/>
    <col min="12553" max="12553" width="55.42578125" style="61" customWidth="1"/>
    <col min="12554" max="12554" width="5" style="61" customWidth="1"/>
    <col min="12555" max="12555" width="11.7109375" style="61" customWidth="1"/>
    <col min="12556" max="12556" width="13.5703125" style="61" customWidth="1"/>
    <col min="12557" max="12557" width="8.140625" style="61" customWidth="1"/>
    <col min="12558" max="12558" width="15.42578125" style="61" customWidth="1"/>
    <col min="12559" max="12561" width="11.7109375" style="61" customWidth="1"/>
    <col min="12562" max="12562" width="6.28515625" style="61" customWidth="1"/>
    <col min="12563" max="12563" width="15" style="61" customWidth="1"/>
    <col min="12564" max="12564" width="24.85546875" style="61" customWidth="1"/>
    <col min="12565" max="12565" width="18.85546875" style="61" customWidth="1"/>
    <col min="12566" max="12800" width="9.140625" style="61"/>
    <col min="12801" max="12801" width="4.7109375" style="61" customWidth="1"/>
    <col min="12802" max="12802" width="3.5703125" style="61" customWidth="1"/>
    <col min="12803" max="12803" width="6.7109375" style="61" customWidth="1"/>
    <col min="12804" max="12804" width="4.85546875" style="61" customWidth="1"/>
    <col min="12805" max="12805" width="5" style="61" customWidth="1"/>
    <col min="12806" max="12806" width="4.7109375" style="61" customWidth="1"/>
    <col min="12807" max="12807" width="9" style="61" customWidth="1"/>
    <col min="12808" max="12808" width="15.140625" style="61" customWidth="1"/>
    <col min="12809" max="12809" width="55.42578125" style="61" customWidth="1"/>
    <col min="12810" max="12810" width="5" style="61" customWidth="1"/>
    <col min="12811" max="12811" width="11.7109375" style="61" customWidth="1"/>
    <col min="12812" max="12812" width="13.5703125" style="61" customWidth="1"/>
    <col min="12813" max="12813" width="8.140625" style="61" customWidth="1"/>
    <col min="12814" max="12814" width="15.42578125" style="61" customWidth="1"/>
    <col min="12815" max="12817" width="11.7109375" style="61" customWidth="1"/>
    <col min="12818" max="12818" width="6.28515625" style="61" customWidth="1"/>
    <col min="12819" max="12819" width="15" style="61" customWidth="1"/>
    <col min="12820" max="12820" width="24.85546875" style="61" customWidth="1"/>
    <col min="12821" max="12821" width="18.85546875" style="61" customWidth="1"/>
    <col min="12822" max="13056" width="9.140625" style="61"/>
    <col min="13057" max="13057" width="4.7109375" style="61" customWidth="1"/>
    <col min="13058" max="13058" width="3.5703125" style="61" customWidth="1"/>
    <col min="13059" max="13059" width="6.7109375" style="61" customWidth="1"/>
    <col min="13060" max="13060" width="4.85546875" style="61" customWidth="1"/>
    <col min="13061" max="13061" width="5" style="61" customWidth="1"/>
    <col min="13062" max="13062" width="4.7109375" style="61" customWidth="1"/>
    <col min="13063" max="13063" width="9" style="61" customWidth="1"/>
    <col min="13064" max="13064" width="15.140625" style="61" customWidth="1"/>
    <col min="13065" max="13065" width="55.42578125" style="61" customWidth="1"/>
    <col min="13066" max="13066" width="5" style="61" customWidth="1"/>
    <col min="13067" max="13067" width="11.7109375" style="61" customWidth="1"/>
    <col min="13068" max="13068" width="13.5703125" style="61" customWidth="1"/>
    <col min="13069" max="13069" width="8.140625" style="61" customWidth="1"/>
    <col min="13070" max="13070" width="15.42578125" style="61" customWidth="1"/>
    <col min="13071" max="13073" width="11.7109375" style="61" customWidth="1"/>
    <col min="13074" max="13074" width="6.28515625" style="61" customWidth="1"/>
    <col min="13075" max="13075" width="15" style="61" customWidth="1"/>
    <col min="13076" max="13076" width="24.85546875" style="61" customWidth="1"/>
    <col min="13077" max="13077" width="18.85546875" style="61" customWidth="1"/>
    <col min="13078" max="13312" width="9.140625" style="61"/>
    <col min="13313" max="13313" width="4.7109375" style="61" customWidth="1"/>
    <col min="13314" max="13314" width="3.5703125" style="61" customWidth="1"/>
    <col min="13315" max="13315" width="6.7109375" style="61" customWidth="1"/>
    <col min="13316" max="13316" width="4.85546875" style="61" customWidth="1"/>
    <col min="13317" max="13317" width="5" style="61" customWidth="1"/>
    <col min="13318" max="13318" width="4.7109375" style="61" customWidth="1"/>
    <col min="13319" max="13319" width="9" style="61" customWidth="1"/>
    <col min="13320" max="13320" width="15.140625" style="61" customWidth="1"/>
    <col min="13321" max="13321" width="55.42578125" style="61" customWidth="1"/>
    <col min="13322" max="13322" width="5" style="61" customWidth="1"/>
    <col min="13323" max="13323" width="11.7109375" style="61" customWidth="1"/>
    <col min="13324" max="13324" width="13.5703125" style="61" customWidth="1"/>
    <col min="13325" max="13325" width="8.140625" style="61" customWidth="1"/>
    <col min="13326" max="13326" width="15.42578125" style="61" customWidth="1"/>
    <col min="13327" max="13329" width="11.7109375" style="61" customWidth="1"/>
    <col min="13330" max="13330" width="6.28515625" style="61" customWidth="1"/>
    <col min="13331" max="13331" width="15" style="61" customWidth="1"/>
    <col min="13332" max="13332" width="24.85546875" style="61" customWidth="1"/>
    <col min="13333" max="13333" width="18.85546875" style="61" customWidth="1"/>
    <col min="13334" max="13568" width="9.140625" style="61"/>
    <col min="13569" max="13569" width="4.7109375" style="61" customWidth="1"/>
    <col min="13570" max="13570" width="3.5703125" style="61" customWidth="1"/>
    <col min="13571" max="13571" width="6.7109375" style="61" customWidth="1"/>
    <col min="13572" max="13572" width="4.85546875" style="61" customWidth="1"/>
    <col min="13573" max="13573" width="5" style="61" customWidth="1"/>
    <col min="13574" max="13574" width="4.7109375" style="61" customWidth="1"/>
    <col min="13575" max="13575" width="9" style="61" customWidth="1"/>
    <col min="13576" max="13576" width="15.140625" style="61" customWidth="1"/>
    <col min="13577" max="13577" width="55.42578125" style="61" customWidth="1"/>
    <col min="13578" max="13578" width="5" style="61" customWidth="1"/>
    <col min="13579" max="13579" width="11.7109375" style="61" customWidth="1"/>
    <col min="13580" max="13580" width="13.5703125" style="61" customWidth="1"/>
    <col min="13581" max="13581" width="8.140625" style="61" customWidth="1"/>
    <col min="13582" max="13582" width="15.42578125" style="61" customWidth="1"/>
    <col min="13583" max="13585" width="11.7109375" style="61" customWidth="1"/>
    <col min="13586" max="13586" width="6.28515625" style="61" customWidth="1"/>
    <col min="13587" max="13587" width="15" style="61" customWidth="1"/>
    <col min="13588" max="13588" width="24.85546875" style="61" customWidth="1"/>
    <col min="13589" max="13589" width="18.85546875" style="61" customWidth="1"/>
    <col min="13590" max="13824" width="9.140625" style="61"/>
    <col min="13825" max="13825" width="4.7109375" style="61" customWidth="1"/>
    <col min="13826" max="13826" width="3.5703125" style="61" customWidth="1"/>
    <col min="13827" max="13827" width="6.7109375" style="61" customWidth="1"/>
    <col min="13828" max="13828" width="4.85546875" style="61" customWidth="1"/>
    <col min="13829" max="13829" width="5" style="61" customWidth="1"/>
    <col min="13830" max="13830" width="4.7109375" style="61" customWidth="1"/>
    <col min="13831" max="13831" width="9" style="61" customWidth="1"/>
    <col min="13832" max="13832" width="15.140625" style="61" customWidth="1"/>
    <col min="13833" max="13833" width="55.42578125" style="61" customWidth="1"/>
    <col min="13834" max="13834" width="5" style="61" customWidth="1"/>
    <col min="13835" max="13835" width="11.7109375" style="61" customWidth="1"/>
    <col min="13836" max="13836" width="13.5703125" style="61" customWidth="1"/>
    <col min="13837" max="13837" width="8.140625" style="61" customWidth="1"/>
    <col min="13838" max="13838" width="15.42578125" style="61" customWidth="1"/>
    <col min="13839" max="13841" width="11.7109375" style="61" customWidth="1"/>
    <col min="13842" max="13842" width="6.28515625" style="61" customWidth="1"/>
    <col min="13843" max="13843" width="15" style="61" customWidth="1"/>
    <col min="13844" max="13844" width="24.85546875" style="61" customWidth="1"/>
    <col min="13845" max="13845" width="18.85546875" style="61" customWidth="1"/>
    <col min="13846" max="14080" width="9.140625" style="61"/>
    <col min="14081" max="14081" width="4.7109375" style="61" customWidth="1"/>
    <col min="14082" max="14082" width="3.5703125" style="61" customWidth="1"/>
    <col min="14083" max="14083" width="6.7109375" style="61" customWidth="1"/>
    <col min="14084" max="14084" width="4.85546875" style="61" customWidth="1"/>
    <col min="14085" max="14085" width="5" style="61" customWidth="1"/>
    <col min="14086" max="14086" width="4.7109375" style="61" customWidth="1"/>
    <col min="14087" max="14087" width="9" style="61" customWidth="1"/>
    <col min="14088" max="14088" width="15.140625" style="61" customWidth="1"/>
    <col min="14089" max="14089" width="55.42578125" style="61" customWidth="1"/>
    <col min="14090" max="14090" width="5" style="61" customWidth="1"/>
    <col min="14091" max="14091" width="11.7109375" style="61" customWidth="1"/>
    <col min="14092" max="14092" width="13.5703125" style="61" customWidth="1"/>
    <col min="14093" max="14093" width="8.140625" style="61" customWidth="1"/>
    <col min="14094" max="14094" width="15.42578125" style="61" customWidth="1"/>
    <col min="14095" max="14097" width="11.7109375" style="61" customWidth="1"/>
    <col min="14098" max="14098" width="6.28515625" style="61" customWidth="1"/>
    <col min="14099" max="14099" width="15" style="61" customWidth="1"/>
    <col min="14100" max="14100" width="24.85546875" style="61" customWidth="1"/>
    <col min="14101" max="14101" width="18.85546875" style="61" customWidth="1"/>
    <col min="14102" max="14336" width="9.140625" style="61"/>
    <col min="14337" max="14337" width="4.7109375" style="61" customWidth="1"/>
    <col min="14338" max="14338" width="3.5703125" style="61" customWidth="1"/>
    <col min="14339" max="14339" width="6.7109375" style="61" customWidth="1"/>
    <col min="14340" max="14340" width="4.85546875" style="61" customWidth="1"/>
    <col min="14341" max="14341" width="5" style="61" customWidth="1"/>
    <col min="14342" max="14342" width="4.7109375" style="61" customWidth="1"/>
    <col min="14343" max="14343" width="9" style="61" customWidth="1"/>
    <col min="14344" max="14344" width="15.140625" style="61" customWidth="1"/>
    <col min="14345" max="14345" width="55.42578125" style="61" customWidth="1"/>
    <col min="14346" max="14346" width="5" style="61" customWidth="1"/>
    <col min="14347" max="14347" width="11.7109375" style="61" customWidth="1"/>
    <col min="14348" max="14348" width="13.5703125" style="61" customWidth="1"/>
    <col min="14349" max="14349" width="8.140625" style="61" customWidth="1"/>
    <col min="14350" max="14350" width="15.42578125" style="61" customWidth="1"/>
    <col min="14351" max="14353" width="11.7109375" style="61" customWidth="1"/>
    <col min="14354" max="14354" width="6.28515625" style="61" customWidth="1"/>
    <col min="14355" max="14355" width="15" style="61" customWidth="1"/>
    <col min="14356" max="14356" width="24.85546875" style="61" customWidth="1"/>
    <col min="14357" max="14357" width="18.85546875" style="61" customWidth="1"/>
    <col min="14358" max="14592" width="9.140625" style="61"/>
    <col min="14593" max="14593" width="4.7109375" style="61" customWidth="1"/>
    <col min="14594" max="14594" width="3.5703125" style="61" customWidth="1"/>
    <col min="14595" max="14595" width="6.7109375" style="61" customWidth="1"/>
    <col min="14596" max="14596" width="4.85546875" style="61" customWidth="1"/>
    <col min="14597" max="14597" width="5" style="61" customWidth="1"/>
    <col min="14598" max="14598" width="4.7109375" style="61" customWidth="1"/>
    <col min="14599" max="14599" width="9" style="61" customWidth="1"/>
    <col min="14600" max="14600" width="15.140625" style="61" customWidth="1"/>
    <col min="14601" max="14601" width="55.42578125" style="61" customWidth="1"/>
    <col min="14602" max="14602" width="5" style="61" customWidth="1"/>
    <col min="14603" max="14603" width="11.7109375" style="61" customWidth="1"/>
    <col min="14604" max="14604" width="13.5703125" style="61" customWidth="1"/>
    <col min="14605" max="14605" width="8.140625" style="61" customWidth="1"/>
    <col min="14606" max="14606" width="15.42578125" style="61" customWidth="1"/>
    <col min="14607" max="14609" width="11.7109375" style="61" customWidth="1"/>
    <col min="14610" max="14610" width="6.28515625" style="61" customWidth="1"/>
    <col min="14611" max="14611" width="15" style="61" customWidth="1"/>
    <col min="14612" max="14612" width="24.85546875" style="61" customWidth="1"/>
    <col min="14613" max="14613" width="18.85546875" style="61" customWidth="1"/>
    <col min="14614" max="14848" width="9.140625" style="61"/>
    <col min="14849" max="14849" width="4.7109375" style="61" customWidth="1"/>
    <col min="14850" max="14850" width="3.5703125" style="61" customWidth="1"/>
    <col min="14851" max="14851" width="6.7109375" style="61" customWidth="1"/>
    <col min="14852" max="14852" width="4.85546875" style="61" customWidth="1"/>
    <col min="14853" max="14853" width="5" style="61" customWidth="1"/>
    <col min="14854" max="14854" width="4.7109375" style="61" customWidth="1"/>
    <col min="14855" max="14855" width="9" style="61" customWidth="1"/>
    <col min="14856" max="14856" width="15.140625" style="61" customWidth="1"/>
    <col min="14857" max="14857" width="55.42578125" style="61" customWidth="1"/>
    <col min="14858" max="14858" width="5" style="61" customWidth="1"/>
    <col min="14859" max="14859" width="11.7109375" style="61" customWidth="1"/>
    <col min="14860" max="14860" width="13.5703125" style="61" customWidth="1"/>
    <col min="14861" max="14861" width="8.140625" style="61" customWidth="1"/>
    <col min="14862" max="14862" width="15.42578125" style="61" customWidth="1"/>
    <col min="14863" max="14865" width="11.7109375" style="61" customWidth="1"/>
    <col min="14866" max="14866" width="6.28515625" style="61" customWidth="1"/>
    <col min="14867" max="14867" width="15" style="61" customWidth="1"/>
    <col min="14868" max="14868" width="24.85546875" style="61" customWidth="1"/>
    <col min="14869" max="14869" width="18.85546875" style="61" customWidth="1"/>
    <col min="14870" max="15104" width="9.140625" style="61"/>
    <col min="15105" max="15105" width="4.7109375" style="61" customWidth="1"/>
    <col min="15106" max="15106" width="3.5703125" style="61" customWidth="1"/>
    <col min="15107" max="15107" width="6.7109375" style="61" customWidth="1"/>
    <col min="15108" max="15108" width="4.85546875" style="61" customWidth="1"/>
    <col min="15109" max="15109" width="5" style="61" customWidth="1"/>
    <col min="15110" max="15110" width="4.7109375" style="61" customWidth="1"/>
    <col min="15111" max="15111" width="9" style="61" customWidth="1"/>
    <col min="15112" max="15112" width="15.140625" style="61" customWidth="1"/>
    <col min="15113" max="15113" width="55.42578125" style="61" customWidth="1"/>
    <col min="15114" max="15114" width="5" style="61" customWidth="1"/>
    <col min="15115" max="15115" width="11.7109375" style="61" customWidth="1"/>
    <col min="15116" max="15116" width="13.5703125" style="61" customWidth="1"/>
    <col min="15117" max="15117" width="8.140625" style="61" customWidth="1"/>
    <col min="15118" max="15118" width="15.42578125" style="61" customWidth="1"/>
    <col min="15119" max="15121" width="11.7109375" style="61" customWidth="1"/>
    <col min="15122" max="15122" width="6.28515625" style="61" customWidth="1"/>
    <col min="15123" max="15123" width="15" style="61" customWidth="1"/>
    <col min="15124" max="15124" width="24.85546875" style="61" customWidth="1"/>
    <col min="15125" max="15125" width="18.85546875" style="61" customWidth="1"/>
    <col min="15126" max="15360" width="9.140625" style="61"/>
    <col min="15361" max="15361" width="4.7109375" style="61" customWidth="1"/>
    <col min="15362" max="15362" width="3.5703125" style="61" customWidth="1"/>
    <col min="15363" max="15363" width="6.7109375" style="61" customWidth="1"/>
    <col min="15364" max="15364" width="4.85546875" style="61" customWidth="1"/>
    <col min="15365" max="15365" width="5" style="61" customWidth="1"/>
    <col min="15366" max="15366" width="4.7109375" style="61" customWidth="1"/>
    <col min="15367" max="15367" width="9" style="61" customWidth="1"/>
    <col min="15368" max="15368" width="15.140625" style="61" customWidth="1"/>
    <col min="15369" max="15369" width="55.42578125" style="61" customWidth="1"/>
    <col min="15370" max="15370" width="5" style="61" customWidth="1"/>
    <col min="15371" max="15371" width="11.7109375" style="61" customWidth="1"/>
    <col min="15372" max="15372" width="13.5703125" style="61" customWidth="1"/>
    <col min="15373" max="15373" width="8.140625" style="61" customWidth="1"/>
    <col min="15374" max="15374" width="15.42578125" style="61" customWidth="1"/>
    <col min="15375" max="15377" width="11.7109375" style="61" customWidth="1"/>
    <col min="15378" max="15378" width="6.28515625" style="61" customWidth="1"/>
    <col min="15379" max="15379" width="15" style="61" customWidth="1"/>
    <col min="15380" max="15380" width="24.85546875" style="61" customWidth="1"/>
    <col min="15381" max="15381" width="18.85546875" style="61" customWidth="1"/>
    <col min="15382" max="15616" width="9.140625" style="61"/>
    <col min="15617" max="15617" width="4.7109375" style="61" customWidth="1"/>
    <col min="15618" max="15618" width="3.5703125" style="61" customWidth="1"/>
    <col min="15619" max="15619" width="6.7109375" style="61" customWidth="1"/>
    <col min="15620" max="15620" width="4.85546875" style="61" customWidth="1"/>
    <col min="15621" max="15621" width="5" style="61" customWidth="1"/>
    <col min="15622" max="15622" width="4.7109375" style="61" customWidth="1"/>
    <col min="15623" max="15623" width="9" style="61" customWidth="1"/>
    <col min="15624" max="15624" width="15.140625" style="61" customWidth="1"/>
    <col min="15625" max="15625" width="55.42578125" style="61" customWidth="1"/>
    <col min="15626" max="15626" width="5" style="61" customWidth="1"/>
    <col min="15627" max="15627" width="11.7109375" style="61" customWidth="1"/>
    <col min="15628" max="15628" width="13.5703125" style="61" customWidth="1"/>
    <col min="15629" max="15629" width="8.140625" style="61" customWidth="1"/>
    <col min="15630" max="15630" width="15.42578125" style="61" customWidth="1"/>
    <col min="15631" max="15633" width="11.7109375" style="61" customWidth="1"/>
    <col min="15634" max="15634" width="6.28515625" style="61" customWidth="1"/>
    <col min="15635" max="15635" width="15" style="61" customWidth="1"/>
    <col min="15636" max="15636" width="24.85546875" style="61" customWidth="1"/>
    <col min="15637" max="15637" width="18.85546875" style="61" customWidth="1"/>
    <col min="15638" max="15872" width="9.140625" style="61"/>
    <col min="15873" max="15873" width="4.7109375" style="61" customWidth="1"/>
    <col min="15874" max="15874" width="3.5703125" style="61" customWidth="1"/>
    <col min="15875" max="15875" width="6.7109375" style="61" customWidth="1"/>
    <col min="15876" max="15876" width="4.85546875" style="61" customWidth="1"/>
    <col min="15877" max="15877" width="5" style="61" customWidth="1"/>
    <col min="15878" max="15878" width="4.7109375" style="61" customWidth="1"/>
    <col min="15879" max="15879" width="9" style="61" customWidth="1"/>
    <col min="15880" max="15880" width="15.140625" style="61" customWidth="1"/>
    <col min="15881" max="15881" width="55.42578125" style="61" customWidth="1"/>
    <col min="15882" max="15882" width="5" style="61" customWidth="1"/>
    <col min="15883" max="15883" width="11.7109375" style="61" customWidth="1"/>
    <col min="15884" max="15884" width="13.5703125" style="61" customWidth="1"/>
    <col min="15885" max="15885" width="8.140625" style="61" customWidth="1"/>
    <col min="15886" max="15886" width="15.42578125" style="61" customWidth="1"/>
    <col min="15887" max="15889" width="11.7109375" style="61" customWidth="1"/>
    <col min="15890" max="15890" width="6.28515625" style="61" customWidth="1"/>
    <col min="15891" max="15891" width="15" style="61" customWidth="1"/>
    <col min="15892" max="15892" width="24.85546875" style="61" customWidth="1"/>
    <col min="15893" max="15893" width="18.85546875" style="61" customWidth="1"/>
    <col min="15894" max="16128" width="9.140625" style="61"/>
    <col min="16129" max="16129" width="4.7109375" style="61" customWidth="1"/>
    <col min="16130" max="16130" width="3.5703125" style="61" customWidth="1"/>
    <col min="16131" max="16131" width="6.7109375" style="61" customWidth="1"/>
    <col min="16132" max="16132" width="4.85546875" style="61" customWidth="1"/>
    <col min="16133" max="16133" width="5" style="61" customWidth="1"/>
    <col min="16134" max="16134" width="4.7109375" style="61" customWidth="1"/>
    <col min="16135" max="16135" width="9" style="61" customWidth="1"/>
    <col min="16136" max="16136" width="15.140625" style="61" customWidth="1"/>
    <col min="16137" max="16137" width="55.42578125" style="61" customWidth="1"/>
    <col min="16138" max="16138" width="5" style="61" customWidth="1"/>
    <col min="16139" max="16139" width="11.7109375" style="61" customWidth="1"/>
    <col min="16140" max="16140" width="13.5703125" style="61" customWidth="1"/>
    <col min="16141" max="16141" width="8.140625" style="61" customWidth="1"/>
    <col min="16142" max="16142" width="15.42578125" style="61" customWidth="1"/>
    <col min="16143" max="16145" width="11.7109375" style="61" customWidth="1"/>
    <col min="16146" max="16146" width="6.28515625" style="61" customWidth="1"/>
    <col min="16147" max="16147" width="15" style="61" customWidth="1"/>
    <col min="16148" max="16148" width="24.85546875" style="61" customWidth="1"/>
    <col min="16149" max="16149" width="18.85546875" style="61" customWidth="1"/>
    <col min="16150" max="16384" width="9.140625" style="61"/>
  </cols>
  <sheetData>
    <row r="1" spans="1:21" ht="31.5" customHeight="1">
      <c r="A1" s="60" t="s">
        <v>529</v>
      </c>
      <c r="B1" s="60" t="s">
        <v>530</v>
      </c>
      <c r="C1" s="60" t="s">
        <v>531</v>
      </c>
      <c r="D1" s="60" t="s">
        <v>532</v>
      </c>
      <c r="E1" s="60" t="s">
        <v>533</v>
      </c>
      <c r="F1" s="60" t="s">
        <v>534</v>
      </c>
      <c r="G1" s="60" t="s">
        <v>535</v>
      </c>
      <c r="H1" s="60" t="s">
        <v>536</v>
      </c>
      <c r="I1" s="60" t="s">
        <v>502</v>
      </c>
      <c r="J1" s="60" t="s">
        <v>18</v>
      </c>
      <c r="K1" s="60" t="s">
        <v>537</v>
      </c>
      <c r="L1" s="60" t="s">
        <v>538</v>
      </c>
      <c r="M1" s="60" t="s">
        <v>539</v>
      </c>
      <c r="N1" s="60" t="s">
        <v>540</v>
      </c>
      <c r="O1" s="60" t="s">
        <v>541</v>
      </c>
      <c r="P1" s="60" t="s">
        <v>542</v>
      </c>
      <c r="Q1" s="60" t="s">
        <v>543</v>
      </c>
      <c r="R1" s="60" t="s">
        <v>544</v>
      </c>
      <c r="S1" s="60" t="s">
        <v>545</v>
      </c>
      <c r="T1" s="60" t="s">
        <v>546</v>
      </c>
      <c r="U1" s="60" t="s">
        <v>547</v>
      </c>
    </row>
    <row r="2" spans="1:21" ht="17.25" customHeight="1">
      <c r="A2" s="62" t="s">
        <v>548</v>
      </c>
      <c r="B2" s="63"/>
      <c r="C2" s="64">
        <v>1</v>
      </c>
      <c r="D2" s="65"/>
      <c r="E2" s="66">
        <v>0</v>
      </c>
      <c r="F2" s="65" t="s">
        <v>549</v>
      </c>
      <c r="G2" s="63"/>
      <c r="H2" s="63" t="s">
        <v>64</v>
      </c>
      <c r="I2" s="67" t="s">
        <v>550</v>
      </c>
      <c r="J2" s="68"/>
      <c r="K2" s="69"/>
      <c r="L2" s="70"/>
      <c r="M2" s="71"/>
      <c r="N2" s="72">
        <f>N3+N22</f>
        <v>0</v>
      </c>
      <c r="O2" s="71">
        <v>7.8790250000000013</v>
      </c>
      <c r="P2" s="71">
        <v>0</v>
      </c>
      <c r="Q2" s="71">
        <v>158.61756000000003</v>
      </c>
      <c r="R2" s="63"/>
      <c r="S2" s="63"/>
      <c r="T2" s="63"/>
      <c r="U2" s="64"/>
    </row>
    <row r="3" spans="1:21" ht="17.25" customHeight="1">
      <c r="A3" s="62" t="s">
        <v>548</v>
      </c>
      <c r="B3" s="63"/>
      <c r="C3" s="64" t="s">
        <v>551</v>
      </c>
      <c r="D3" s="65"/>
      <c r="E3" s="66">
        <v>0</v>
      </c>
      <c r="F3" s="65" t="s">
        <v>549</v>
      </c>
      <c r="G3" s="63"/>
      <c r="H3" s="63" t="s">
        <v>552</v>
      </c>
      <c r="I3" s="67" t="s">
        <v>553</v>
      </c>
      <c r="J3" s="68"/>
      <c r="K3" s="69"/>
      <c r="L3" s="70"/>
      <c r="M3" s="71"/>
      <c r="N3" s="72">
        <f>SUM(N4:N21)</f>
        <v>0</v>
      </c>
      <c r="O3" s="71">
        <v>0.161715</v>
      </c>
      <c r="P3" s="71">
        <v>0</v>
      </c>
      <c r="Q3" s="71">
        <v>46.530999999999992</v>
      </c>
      <c r="R3" s="63"/>
      <c r="S3" s="63"/>
      <c r="T3" s="63"/>
      <c r="U3" s="64"/>
    </row>
    <row r="4" spans="1:21" ht="27.75" customHeight="1">
      <c r="A4" s="73" t="s">
        <v>548</v>
      </c>
      <c r="B4" s="74"/>
      <c r="C4" s="75" t="s">
        <v>554</v>
      </c>
      <c r="D4" s="76" t="s">
        <v>555</v>
      </c>
      <c r="E4" s="77">
        <v>1</v>
      </c>
      <c r="F4" s="78" t="s">
        <v>556</v>
      </c>
      <c r="G4" s="74" t="s">
        <v>64</v>
      </c>
      <c r="H4" s="74" t="s">
        <v>557</v>
      </c>
      <c r="I4" s="79" t="s">
        <v>558</v>
      </c>
      <c r="J4" s="80" t="s">
        <v>559</v>
      </c>
      <c r="K4" s="81">
        <v>3</v>
      </c>
      <c r="L4" s="82">
        <v>0</v>
      </c>
      <c r="M4" s="81">
        <v>0.6</v>
      </c>
      <c r="N4" s="83">
        <f>K4*L4</f>
        <v>0</v>
      </c>
      <c r="O4" s="84">
        <v>0</v>
      </c>
      <c r="P4" s="84">
        <v>0</v>
      </c>
      <c r="Q4" s="84">
        <v>0.91800000000000004</v>
      </c>
      <c r="R4" s="74" t="s">
        <v>560</v>
      </c>
      <c r="S4" s="74"/>
      <c r="T4" s="74"/>
      <c r="U4" s="74"/>
    </row>
    <row r="5" spans="1:21" ht="17.25" customHeight="1">
      <c r="A5" s="73" t="s">
        <v>548</v>
      </c>
      <c r="B5" s="74"/>
      <c r="C5" s="75" t="s">
        <v>554</v>
      </c>
      <c r="D5" s="76" t="s">
        <v>555</v>
      </c>
      <c r="E5" s="77">
        <v>2</v>
      </c>
      <c r="F5" s="78" t="s">
        <v>556</v>
      </c>
      <c r="G5" s="74" t="s">
        <v>64</v>
      </c>
      <c r="H5" s="74" t="s">
        <v>561</v>
      </c>
      <c r="I5" s="79" t="s">
        <v>562</v>
      </c>
      <c r="J5" s="80" t="s">
        <v>559</v>
      </c>
      <c r="K5" s="81">
        <v>3</v>
      </c>
      <c r="L5" s="82">
        <v>0</v>
      </c>
      <c r="M5" s="81">
        <v>0.6</v>
      </c>
      <c r="N5" s="83">
        <f t="shared" ref="N5:N20" si="0">K5*L5</f>
        <v>0</v>
      </c>
      <c r="O5" s="84">
        <v>0</v>
      </c>
      <c r="P5" s="84">
        <v>0</v>
      </c>
      <c r="Q5" s="84">
        <v>1.6830000000000001</v>
      </c>
      <c r="R5" s="74" t="s">
        <v>560</v>
      </c>
      <c r="S5" s="74"/>
      <c r="T5" s="74"/>
      <c r="U5" s="74"/>
    </row>
    <row r="6" spans="1:21" ht="27.75" customHeight="1" outlineLevel="1">
      <c r="A6" s="73" t="s">
        <v>548</v>
      </c>
      <c r="B6" s="74"/>
      <c r="C6" s="75" t="s">
        <v>554</v>
      </c>
      <c r="D6" s="76" t="s">
        <v>555</v>
      </c>
      <c r="E6" s="77">
        <v>3</v>
      </c>
      <c r="F6" s="78" t="s">
        <v>556</v>
      </c>
      <c r="G6" s="74" t="s">
        <v>64</v>
      </c>
      <c r="H6" s="74"/>
      <c r="I6" s="79" t="s">
        <v>563</v>
      </c>
      <c r="J6" s="80" t="s">
        <v>559</v>
      </c>
      <c r="K6" s="81">
        <v>2</v>
      </c>
      <c r="L6" s="83">
        <v>0</v>
      </c>
      <c r="M6" s="81">
        <v>0.6</v>
      </c>
      <c r="N6" s="83">
        <f t="shared" si="0"/>
        <v>0</v>
      </c>
      <c r="O6" s="84">
        <v>0</v>
      </c>
      <c r="P6" s="84">
        <v>0</v>
      </c>
      <c r="Q6" s="84">
        <v>0.91800000000000004</v>
      </c>
      <c r="R6" s="74" t="s">
        <v>560</v>
      </c>
      <c r="S6" s="74"/>
      <c r="T6" s="74"/>
      <c r="U6" s="74"/>
    </row>
    <row r="7" spans="1:21" ht="17.25" customHeight="1" outlineLevel="1">
      <c r="A7" s="73" t="s">
        <v>548</v>
      </c>
      <c r="B7" s="74"/>
      <c r="C7" s="75" t="s">
        <v>554</v>
      </c>
      <c r="D7" s="76" t="s">
        <v>555</v>
      </c>
      <c r="E7" s="77">
        <v>4</v>
      </c>
      <c r="F7" s="78" t="s">
        <v>556</v>
      </c>
      <c r="G7" s="74" t="s">
        <v>64</v>
      </c>
      <c r="H7" s="74"/>
      <c r="I7" s="79" t="s">
        <v>564</v>
      </c>
      <c r="J7" s="80" t="s">
        <v>559</v>
      </c>
      <c r="K7" s="81">
        <v>2</v>
      </c>
      <c r="L7" s="83">
        <v>0</v>
      </c>
      <c r="M7" s="81">
        <v>0.6</v>
      </c>
      <c r="N7" s="83">
        <f t="shared" si="0"/>
        <v>0</v>
      </c>
      <c r="O7" s="84">
        <v>0</v>
      </c>
      <c r="P7" s="84">
        <v>0</v>
      </c>
      <c r="Q7" s="84">
        <v>1.6830000000000001</v>
      </c>
      <c r="R7" s="74" t="s">
        <v>560</v>
      </c>
      <c r="S7" s="74"/>
      <c r="T7" s="74"/>
      <c r="U7" s="74"/>
    </row>
    <row r="8" spans="1:21" ht="17.25" customHeight="1" outlineLevel="1">
      <c r="A8" s="73"/>
      <c r="B8" s="74"/>
      <c r="C8" s="75" t="s">
        <v>554</v>
      </c>
      <c r="D8" s="76" t="s">
        <v>555</v>
      </c>
      <c r="E8" s="77">
        <v>5</v>
      </c>
      <c r="F8" s="78" t="s">
        <v>64</v>
      </c>
      <c r="G8" s="74" t="s">
        <v>565</v>
      </c>
      <c r="H8" s="74" t="s">
        <v>566</v>
      </c>
      <c r="I8" s="79" t="s">
        <v>567</v>
      </c>
      <c r="J8" s="80" t="s">
        <v>559</v>
      </c>
      <c r="K8" s="81">
        <v>2</v>
      </c>
      <c r="L8" s="83">
        <v>0</v>
      </c>
      <c r="M8" s="81">
        <v>1</v>
      </c>
      <c r="N8" s="83">
        <f t="shared" si="0"/>
        <v>0</v>
      </c>
      <c r="O8" s="84">
        <v>0</v>
      </c>
      <c r="P8" s="84"/>
      <c r="Q8" s="84"/>
      <c r="R8" s="74"/>
      <c r="S8" s="74"/>
      <c r="T8" s="74"/>
      <c r="U8" s="74"/>
    </row>
    <row r="9" spans="1:21" ht="17.25" customHeight="1" outlineLevel="1">
      <c r="A9" s="73"/>
      <c r="B9" s="74"/>
      <c r="C9" s="75" t="s">
        <v>554</v>
      </c>
      <c r="D9" s="76" t="s">
        <v>555</v>
      </c>
      <c r="E9" s="77">
        <v>6</v>
      </c>
      <c r="F9" s="78" t="s">
        <v>64</v>
      </c>
      <c r="G9" s="74" t="s">
        <v>565</v>
      </c>
      <c r="H9" s="74"/>
      <c r="I9" s="79" t="s">
        <v>568</v>
      </c>
      <c r="J9" s="80" t="s">
        <v>559</v>
      </c>
      <c r="K9" s="81">
        <v>2</v>
      </c>
      <c r="L9" s="83">
        <v>0</v>
      </c>
      <c r="M9" s="81">
        <v>1</v>
      </c>
      <c r="N9" s="83">
        <f t="shared" si="0"/>
        <v>0</v>
      </c>
      <c r="O9" s="84">
        <v>0</v>
      </c>
      <c r="P9" s="84"/>
      <c r="Q9" s="84"/>
      <c r="R9" s="74"/>
      <c r="S9" s="74"/>
      <c r="T9" s="74"/>
      <c r="U9" s="74"/>
    </row>
    <row r="10" spans="1:21" ht="17.25" customHeight="1" outlineLevel="1">
      <c r="A10" s="73"/>
      <c r="B10" s="74"/>
      <c r="C10" s="75" t="s">
        <v>554</v>
      </c>
      <c r="D10" s="76" t="s">
        <v>555</v>
      </c>
      <c r="E10" s="77">
        <v>7</v>
      </c>
      <c r="F10" s="78" t="s">
        <v>556</v>
      </c>
      <c r="G10" s="74" t="s">
        <v>64</v>
      </c>
      <c r="H10" s="74" t="s">
        <v>569</v>
      </c>
      <c r="I10" s="79" t="s">
        <v>570</v>
      </c>
      <c r="J10" s="80" t="s">
        <v>559</v>
      </c>
      <c r="K10" s="81">
        <v>2</v>
      </c>
      <c r="L10" s="83">
        <v>0</v>
      </c>
      <c r="M10" s="81">
        <v>1</v>
      </c>
      <c r="N10" s="83">
        <f t="shared" si="0"/>
        <v>0</v>
      </c>
      <c r="O10" s="84">
        <v>0</v>
      </c>
      <c r="P10" s="84"/>
      <c r="Q10" s="84"/>
      <c r="R10" s="74"/>
      <c r="S10" s="74"/>
      <c r="T10" s="74"/>
      <c r="U10" s="74"/>
    </row>
    <row r="11" spans="1:21" ht="17.25" customHeight="1" outlineLevel="1">
      <c r="A11" s="73"/>
      <c r="B11" s="74"/>
      <c r="C11" s="75" t="s">
        <v>554</v>
      </c>
      <c r="D11" s="76" t="s">
        <v>555</v>
      </c>
      <c r="E11" s="77">
        <v>8</v>
      </c>
      <c r="F11" s="78" t="s">
        <v>64</v>
      </c>
      <c r="G11" s="74" t="s">
        <v>565</v>
      </c>
      <c r="H11" s="74"/>
      <c r="I11" s="79" t="s">
        <v>571</v>
      </c>
      <c r="J11" s="80" t="s">
        <v>559</v>
      </c>
      <c r="K11" s="81">
        <v>2</v>
      </c>
      <c r="L11" s="83">
        <v>0</v>
      </c>
      <c r="M11" s="81">
        <v>1</v>
      </c>
      <c r="N11" s="83">
        <f t="shared" si="0"/>
        <v>0</v>
      </c>
      <c r="O11" s="84">
        <v>0</v>
      </c>
      <c r="P11" s="84"/>
      <c r="Q11" s="84"/>
      <c r="R11" s="74"/>
      <c r="S11" s="74"/>
      <c r="T11" s="74"/>
      <c r="U11" s="74"/>
    </row>
    <row r="12" spans="1:21" ht="27.75" customHeight="1">
      <c r="A12" s="73" t="s">
        <v>548</v>
      </c>
      <c r="B12" s="74"/>
      <c r="C12" s="75" t="s">
        <v>554</v>
      </c>
      <c r="D12" s="76" t="s">
        <v>555</v>
      </c>
      <c r="E12" s="77">
        <v>9</v>
      </c>
      <c r="F12" s="78" t="s">
        <v>556</v>
      </c>
      <c r="G12" s="74" t="s">
        <v>64</v>
      </c>
      <c r="H12" s="74" t="s">
        <v>572</v>
      </c>
      <c r="I12" s="79" t="s">
        <v>573</v>
      </c>
      <c r="J12" s="80" t="s">
        <v>574</v>
      </c>
      <c r="K12" s="81">
        <f>51+30</f>
        <v>81</v>
      </c>
      <c r="L12" s="82">
        <v>0</v>
      </c>
      <c r="M12" s="81">
        <v>1</v>
      </c>
      <c r="N12" s="83">
        <f t="shared" si="0"/>
        <v>0</v>
      </c>
      <c r="O12" s="84">
        <v>0</v>
      </c>
      <c r="P12" s="84">
        <v>0</v>
      </c>
      <c r="Q12" s="84">
        <v>2.9580000000000002</v>
      </c>
      <c r="R12" s="74" t="s">
        <v>560</v>
      </c>
      <c r="S12" s="74"/>
      <c r="T12" s="74"/>
      <c r="U12" s="74"/>
    </row>
    <row r="13" spans="1:21" ht="17.25" customHeight="1">
      <c r="A13" s="73" t="s">
        <v>548</v>
      </c>
      <c r="B13" s="74"/>
      <c r="C13" s="75" t="s">
        <v>554</v>
      </c>
      <c r="D13" s="85" t="s">
        <v>575</v>
      </c>
      <c r="E13" s="77">
        <v>10</v>
      </c>
      <c r="F13" s="78" t="s">
        <v>64</v>
      </c>
      <c r="G13" s="74" t="s">
        <v>565</v>
      </c>
      <c r="H13" s="74" t="s">
        <v>576</v>
      </c>
      <c r="I13" s="86" t="s">
        <v>577</v>
      </c>
      <c r="J13" s="80" t="s">
        <v>574</v>
      </c>
      <c r="K13" s="81">
        <f>58.65+35</f>
        <v>93.65</v>
      </c>
      <c r="L13" s="83">
        <v>0</v>
      </c>
      <c r="M13" s="81">
        <v>1</v>
      </c>
      <c r="N13" s="83">
        <f t="shared" si="0"/>
        <v>0</v>
      </c>
      <c r="O13" s="84">
        <v>5.2784999999999999E-2</v>
      </c>
      <c r="P13" s="84"/>
      <c r="Q13" s="84"/>
      <c r="R13" s="74" t="s">
        <v>560</v>
      </c>
      <c r="S13" s="74"/>
      <c r="T13" s="74"/>
      <c r="U13" s="74"/>
    </row>
    <row r="14" spans="1:21" ht="17.25" customHeight="1">
      <c r="A14" s="73" t="s">
        <v>548</v>
      </c>
      <c r="B14" s="74"/>
      <c r="C14" s="75" t="s">
        <v>554</v>
      </c>
      <c r="D14" s="76" t="s">
        <v>555</v>
      </c>
      <c r="E14" s="77">
        <v>11</v>
      </c>
      <c r="F14" s="78" t="s">
        <v>556</v>
      </c>
      <c r="G14" s="74" t="s">
        <v>64</v>
      </c>
      <c r="H14" s="74" t="s">
        <v>578</v>
      </c>
      <c r="I14" s="79" t="s">
        <v>579</v>
      </c>
      <c r="J14" s="80" t="s">
        <v>574</v>
      </c>
      <c r="K14" s="81">
        <f>51+30</f>
        <v>81</v>
      </c>
      <c r="L14" s="82">
        <v>0</v>
      </c>
      <c r="M14" s="81">
        <v>1</v>
      </c>
      <c r="N14" s="83">
        <f t="shared" si="0"/>
        <v>0</v>
      </c>
      <c r="O14" s="84">
        <v>0</v>
      </c>
      <c r="P14" s="84">
        <v>0</v>
      </c>
      <c r="Q14" s="84">
        <v>4.59</v>
      </c>
      <c r="R14" s="74" t="s">
        <v>560</v>
      </c>
      <c r="S14" s="74"/>
      <c r="T14" s="74"/>
      <c r="U14" s="74"/>
    </row>
    <row r="15" spans="1:21" ht="27.75" customHeight="1">
      <c r="A15" s="73" t="s">
        <v>548</v>
      </c>
      <c r="B15" s="74"/>
      <c r="C15" s="75" t="s">
        <v>554</v>
      </c>
      <c r="D15" s="85" t="s">
        <v>575</v>
      </c>
      <c r="E15" s="77">
        <v>12</v>
      </c>
      <c r="F15" s="78" t="s">
        <v>64</v>
      </c>
      <c r="G15" s="74" t="s">
        <v>565</v>
      </c>
      <c r="H15" s="74" t="s">
        <v>580</v>
      </c>
      <c r="I15" s="86" t="s">
        <v>581</v>
      </c>
      <c r="J15" s="80" t="s">
        <v>574</v>
      </c>
      <c r="K15" s="81">
        <f>51+30</f>
        <v>81</v>
      </c>
      <c r="L15" s="83">
        <v>0</v>
      </c>
      <c r="M15" s="81">
        <v>1</v>
      </c>
      <c r="N15" s="83">
        <f t="shared" si="0"/>
        <v>0</v>
      </c>
      <c r="O15" s="84">
        <v>1.7850000000000001E-2</v>
      </c>
      <c r="P15" s="84"/>
      <c r="Q15" s="84"/>
      <c r="R15" s="74" t="s">
        <v>560</v>
      </c>
      <c r="S15" s="74"/>
      <c r="T15" s="74"/>
      <c r="U15" s="74"/>
    </row>
    <row r="16" spans="1:21" ht="17.25" customHeight="1">
      <c r="A16" s="73" t="s">
        <v>548</v>
      </c>
      <c r="B16" s="74"/>
      <c r="C16" s="75" t="s">
        <v>554</v>
      </c>
      <c r="D16" s="76" t="s">
        <v>555</v>
      </c>
      <c r="E16" s="77">
        <v>13</v>
      </c>
      <c r="F16" s="78" t="s">
        <v>556</v>
      </c>
      <c r="G16" s="74" t="s">
        <v>582</v>
      </c>
      <c r="H16" s="74" t="s">
        <v>583</v>
      </c>
      <c r="I16" s="79" t="s">
        <v>584</v>
      </c>
      <c r="J16" s="80" t="s">
        <v>574</v>
      </c>
      <c r="K16" s="81">
        <f>51+30</f>
        <v>81</v>
      </c>
      <c r="L16" s="83">
        <v>0</v>
      </c>
      <c r="M16" s="81">
        <v>1</v>
      </c>
      <c r="N16" s="83">
        <f t="shared" si="0"/>
        <v>0</v>
      </c>
      <c r="O16" s="84">
        <v>0</v>
      </c>
      <c r="P16" s="84">
        <v>0</v>
      </c>
      <c r="Q16" s="84">
        <v>1.1219999999999999</v>
      </c>
      <c r="R16" s="74" t="s">
        <v>560</v>
      </c>
      <c r="S16" s="74"/>
      <c r="T16" s="74"/>
      <c r="U16" s="74"/>
    </row>
    <row r="17" spans="1:21" ht="27.75" customHeight="1">
      <c r="A17" s="73" t="s">
        <v>548</v>
      </c>
      <c r="B17" s="74"/>
      <c r="C17" s="75" t="s">
        <v>554</v>
      </c>
      <c r="D17" s="76" t="s">
        <v>555</v>
      </c>
      <c r="E17" s="77">
        <v>14</v>
      </c>
      <c r="F17" s="78" t="s">
        <v>556</v>
      </c>
      <c r="G17" s="74" t="s">
        <v>64</v>
      </c>
      <c r="H17" s="74" t="s">
        <v>585</v>
      </c>
      <c r="I17" s="79" t="s">
        <v>586</v>
      </c>
      <c r="J17" s="80" t="s">
        <v>559</v>
      </c>
      <c r="K17" s="81">
        <v>9</v>
      </c>
      <c r="L17" s="82">
        <v>0</v>
      </c>
      <c r="M17" s="81">
        <v>1</v>
      </c>
      <c r="N17" s="83">
        <f t="shared" si="0"/>
        <v>0</v>
      </c>
      <c r="O17" s="84">
        <v>0</v>
      </c>
      <c r="P17" s="84">
        <v>0</v>
      </c>
      <c r="Q17" s="84">
        <v>28.986999999999998</v>
      </c>
      <c r="R17" s="74" t="s">
        <v>560</v>
      </c>
      <c r="S17" s="74"/>
      <c r="T17" s="74"/>
      <c r="U17" s="74"/>
    </row>
    <row r="18" spans="1:21" ht="17.25" customHeight="1">
      <c r="A18" s="73" t="s">
        <v>548</v>
      </c>
      <c r="B18" s="74"/>
      <c r="C18" s="75" t="s">
        <v>554</v>
      </c>
      <c r="D18" s="85" t="s">
        <v>575</v>
      </c>
      <c r="E18" s="77">
        <v>15</v>
      </c>
      <c r="F18" s="78" t="s">
        <v>64</v>
      </c>
      <c r="G18" s="74" t="s">
        <v>565</v>
      </c>
      <c r="H18" s="74" t="s">
        <v>587</v>
      </c>
      <c r="I18" s="86" t="s">
        <v>588</v>
      </c>
      <c r="J18" s="80" t="s">
        <v>559</v>
      </c>
      <c r="K18" s="81">
        <v>9</v>
      </c>
      <c r="L18" s="83">
        <v>0</v>
      </c>
      <c r="M18" s="81">
        <v>1</v>
      </c>
      <c r="N18" s="83">
        <f t="shared" si="0"/>
        <v>0</v>
      </c>
      <c r="O18" s="84">
        <v>5.67E-2</v>
      </c>
      <c r="P18" s="84"/>
      <c r="Q18" s="84"/>
      <c r="R18" s="74" t="s">
        <v>560</v>
      </c>
      <c r="S18" s="74"/>
      <c r="T18" s="74"/>
      <c r="U18" s="74"/>
    </row>
    <row r="19" spans="1:21" ht="27.75" customHeight="1">
      <c r="A19" s="73" t="s">
        <v>548</v>
      </c>
      <c r="B19" s="74"/>
      <c r="C19" s="75" t="s">
        <v>554</v>
      </c>
      <c r="D19" s="76" t="s">
        <v>555</v>
      </c>
      <c r="E19" s="77">
        <v>16</v>
      </c>
      <c r="F19" s="78" t="s">
        <v>556</v>
      </c>
      <c r="G19" s="74" t="s">
        <v>64</v>
      </c>
      <c r="H19" s="74" t="s">
        <v>589</v>
      </c>
      <c r="I19" s="79" t="s">
        <v>590</v>
      </c>
      <c r="J19" s="80" t="s">
        <v>574</v>
      </c>
      <c r="K19" s="81">
        <f>51+30</f>
        <v>81</v>
      </c>
      <c r="L19" s="82">
        <v>0</v>
      </c>
      <c r="M19" s="81">
        <v>1</v>
      </c>
      <c r="N19" s="83">
        <f t="shared" si="0"/>
        <v>0</v>
      </c>
      <c r="O19" s="84">
        <v>0</v>
      </c>
      <c r="P19" s="84">
        <v>0</v>
      </c>
      <c r="Q19" s="84">
        <v>6.2729999999999997</v>
      </c>
      <c r="R19" s="74" t="s">
        <v>560</v>
      </c>
      <c r="S19" s="74"/>
      <c r="T19" s="74"/>
      <c r="U19" s="74"/>
    </row>
    <row r="20" spans="1:21" ht="17.25" customHeight="1">
      <c r="A20" s="73" t="s">
        <v>548</v>
      </c>
      <c r="B20" s="74"/>
      <c r="C20" s="75" t="s">
        <v>554</v>
      </c>
      <c r="D20" s="85" t="s">
        <v>575</v>
      </c>
      <c r="E20" s="77">
        <v>17</v>
      </c>
      <c r="F20" s="78" t="s">
        <v>64</v>
      </c>
      <c r="G20" s="74" t="s">
        <v>565</v>
      </c>
      <c r="H20" s="74" t="s">
        <v>591</v>
      </c>
      <c r="I20" s="86" t="s">
        <v>592</v>
      </c>
      <c r="J20" s="80" t="s">
        <v>593</v>
      </c>
      <c r="K20" s="81">
        <f>31.62+16</f>
        <v>47.620000000000005</v>
      </c>
      <c r="L20" s="83">
        <v>0</v>
      </c>
      <c r="M20" s="81">
        <v>1</v>
      </c>
      <c r="N20" s="83">
        <f t="shared" si="0"/>
        <v>0</v>
      </c>
      <c r="O20" s="84">
        <v>3.1620000000000002E-2</v>
      </c>
      <c r="P20" s="84"/>
      <c r="Q20" s="84"/>
      <c r="R20" s="74" t="s">
        <v>560</v>
      </c>
      <c r="S20" s="74"/>
      <c r="T20" s="74"/>
      <c r="U20" s="74"/>
    </row>
    <row r="21" spans="1:21" ht="17.25" customHeight="1">
      <c r="A21" s="73" t="s">
        <v>548</v>
      </c>
      <c r="B21" s="74"/>
      <c r="C21" s="75" t="s">
        <v>554</v>
      </c>
      <c r="D21" s="85" t="s">
        <v>575</v>
      </c>
      <c r="E21" s="77">
        <v>18</v>
      </c>
      <c r="F21" s="78" t="s">
        <v>64</v>
      </c>
      <c r="G21" s="74" t="s">
        <v>565</v>
      </c>
      <c r="H21" s="74" t="s">
        <v>594</v>
      </c>
      <c r="I21" s="86" t="s">
        <v>595</v>
      </c>
      <c r="J21" s="80" t="s">
        <v>559</v>
      </c>
      <c r="K21" s="81">
        <v>20</v>
      </c>
      <c r="L21" s="83">
        <v>0</v>
      </c>
      <c r="M21" s="81">
        <v>1</v>
      </c>
      <c r="N21" s="83">
        <f>K21*L21</f>
        <v>0</v>
      </c>
      <c r="O21" s="84">
        <v>2.7599999999999999E-3</v>
      </c>
      <c r="P21" s="84"/>
      <c r="Q21" s="84"/>
      <c r="R21" s="74" t="s">
        <v>560</v>
      </c>
      <c r="S21" s="74"/>
      <c r="T21" s="74"/>
      <c r="U21" s="74"/>
    </row>
    <row r="22" spans="1:21" ht="17.25" customHeight="1">
      <c r="A22" s="62" t="s">
        <v>548</v>
      </c>
      <c r="B22" s="63"/>
      <c r="C22" s="64" t="s">
        <v>551</v>
      </c>
      <c r="D22" s="65"/>
      <c r="E22" s="66">
        <v>0</v>
      </c>
      <c r="F22" s="65" t="s">
        <v>549</v>
      </c>
      <c r="G22" s="63"/>
      <c r="H22" s="63" t="s">
        <v>596</v>
      </c>
      <c r="I22" s="67" t="s">
        <v>597</v>
      </c>
      <c r="J22" s="68"/>
      <c r="K22" s="69"/>
      <c r="L22" s="70"/>
      <c r="M22" s="71"/>
      <c r="N22" s="72">
        <f>SUM(N23:N36)</f>
        <v>0</v>
      </c>
      <c r="O22" s="71">
        <v>7.7173100000000003</v>
      </c>
      <c r="P22" s="71">
        <v>0</v>
      </c>
      <c r="Q22" s="71">
        <v>112.08656000000001</v>
      </c>
      <c r="R22" s="63"/>
      <c r="S22" s="63"/>
      <c r="T22" s="63"/>
      <c r="U22" s="64"/>
    </row>
    <row r="23" spans="1:21" ht="27.75" customHeight="1">
      <c r="A23" s="73" t="s">
        <v>548</v>
      </c>
      <c r="B23" s="74"/>
      <c r="C23" s="75" t="s">
        <v>554</v>
      </c>
      <c r="D23" s="76" t="s">
        <v>555</v>
      </c>
      <c r="E23" s="77">
        <v>19</v>
      </c>
      <c r="F23" s="78" t="s">
        <v>556</v>
      </c>
      <c r="G23" s="74" t="s">
        <v>64</v>
      </c>
      <c r="H23" s="74" t="s">
        <v>598</v>
      </c>
      <c r="I23" s="79" t="s">
        <v>599</v>
      </c>
      <c r="J23" s="80" t="s">
        <v>600</v>
      </c>
      <c r="K23" s="81">
        <v>0.08</v>
      </c>
      <c r="L23" s="83">
        <v>0</v>
      </c>
      <c r="M23" s="81">
        <v>1</v>
      </c>
      <c r="N23" s="83">
        <f>K23*L23</f>
        <v>0</v>
      </c>
      <c r="O23" s="84">
        <v>4.4000000000000002E-4</v>
      </c>
      <c r="P23" s="84">
        <v>0</v>
      </c>
      <c r="Q23" s="84">
        <v>0.20499999999999999</v>
      </c>
      <c r="R23" s="74" t="s">
        <v>560</v>
      </c>
      <c r="S23" s="74"/>
      <c r="T23" s="74"/>
      <c r="U23" s="74"/>
    </row>
    <row r="24" spans="1:21" ht="27.75" customHeight="1">
      <c r="A24" s="73" t="s">
        <v>548</v>
      </c>
      <c r="B24" s="74"/>
      <c r="C24" s="75" t="s">
        <v>554</v>
      </c>
      <c r="D24" s="76" t="s">
        <v>555</v>
      </c>
      <c r="E24" s="77">
        <v>20</v>
      </c>
      <c r="F24" s="78" t="s">
        <v>556</v>
      </c>
      <c r="G24" s="74" t="s">
        <v>64</v>
      </c>
      <c r="H24" s="74" t="s">
        <v>601</v>
      </c>
      <c r="I24" s="79" t="s">
        <v>602</v>
      </c>
      <c r="J24" s="80" t="s">
        <v>574</v>
      </c>
      <c r="K24" s="81">
        <f>26+30</f>
        <v>56</v>
      </c>
      <c r="L24" s="83">
        <v>0</v>
      </c>
      <c r="M24" s="81">
        <v>1</v>
      </c>
      <c r="N24" s="83">
        <f>K24*L24</f>
        <v>0</v>
      </c>
      <c r="O24" s="84">
        <v>0</v>
      </c>
      <c r="P24" s="84">
        <v>0</v>
      </c>
      <c r="Q24" s="84">
        <v>51.271999999999998</v>
      </c>
      <c r="R24" s="74" t="s">
        <v>560</v>
      </c>
      <c r="S24" s="74"/>
      <c r="T24" s="74"/>
      <c r="U24" s="74"/>
    </row>
    <row r="25" spans="1:21" ht="27.75" customHeight="1">
      <c r="A25" s="73" t="s">
        <v>548</v>
      </c>
      <c r="B25" s="74"/>
      <c r="C25" s="75" t="s">
        <v>554</v>
      </c>
      <c r="D25" s="76" t="s">
        <v>555</v>
      </c>
      <c r="E25" s="77">
        <v>21</v>
      </c>
      <c r="F25" s="78" t="s">
        <v>556</v>
      </c>
      <c r="G25" s="74" t="s">
        <v>64</v>
      </c>
      <c r="H25" s="74" t="s">
        <v>603</v>
      </c>
      <c r="I25" s="79" t="s">
        <v>604</v>
      </c>
      <c r="J25" s="80" t="s">
        <v>574</v>
      </c>
      <c r="K25" s="81">
        <v>12</v>
      </c>
      <c r="L25" s="83">
        <v>0</v>
      </c>
      <c r="M25" s="81">
        <v>1</v>
      </c>
      <c r="N25" s="83">
        <f>K25*L25</f>
        <v>0</v>
      </c>
      <c r="O25" s="84">
        <v>0</v>
      </c>
      <c r="P25" s="84">
        <v>0</v>
      </c>
      <c r="Q25" s="84">
        <v>29.58</v>
      </c>
      <c r="R25" s="74" t="s">
        <v>560</v>
      </c>
      <c r="S25" s="74"/>
      <c r="T25" s="74"/>
      <c r="U25" s="74"/>
    </row>
    <row r="26" spans="1:21" ht="27.75" customHeight="1">
      <c r="A26" s="73" t="s">
        <v>548</v>
      </c>
      <c r="B26" s="74"/>
      <c r="C26" s="75" t="s">
        <v>554</v>
      </c>
      <c r="D26" s="76" t="s">
        <v>555</v>
      </c>
      <c r="E26" s="77">
        <v>22</v>
      </c>
      <c r="F26" s="78" t="s">
        <v>556</v>
      </c>
      <c r="G26" s="74" t="s">
        <v>64</v>
      </c>
      <c r="H26" s="74" t="s">
        <v>605</v>
      </c>
      <c r="I26" s="79" t="s">
        <v>606</v>
      </c>
      <c r="J26" s="80" t="s">
        <v>574</v>
      </c>
      <c r="K26" s="81">
        <f>38+30</f>
        <v>68</v>
      </c>
      <c r="L26" s="83">
        <v>0</v>
      </c>
      <c r="M26" s="81">
        <v>1</v>
      </c>
      <c r="N26" s="83">
        <f>K26*L26</f>
        <v>0</v>
      </c>
      <c r="O26" s="84">
        <v>7.7140000000000004</v>
      </c>
      <c r="P26" s="84">
        <v>0</v>
      </c>
      <c r="Q26" s="84">
        <v>2.774</v>
      </c>
      <c r="R26" s="74" t="s">
        <v>560</v>
      </c>
      <c r="S26" s="74"/>
      <c r="T26" s="74"/>
      <c r="U26" s="74"/>
    </row>
    <row r="27" spans="1:21" ht="17.25" customHeight="1">
      <c r="A27" s="73" t="s">
        <v>548</v>
      </c>
      <c r="B27" s="74"/>
      <c r="C27" s="75" t="s">
        <v>554</v>
      </c>
      <c r="D27" s="76" t="s">
        <v>555</v>
      </c>
      <c r="E27" s="77">
        <v>23</v>
      </c>
      <c r="F27" s="78" t="s">
        <v>556</v>
      </c>
      <c r="G27" s="74" t="s">
        <v>64</v>
      </c>
      <c r="H27" s="74" t="s">
        <v>607</v>
      </c>
      <c r="I27" s="79" t="s">
        <v>608</v>
      </c>
      <c r="J27" s="80" t="s">
        <v>574</v>
      </c>
      <c r="K27" s="81">
        <f>41+30</f>
        <v>71</v>
      </c>
      <c r="L27" s="83">
        <v>0</v>
      </c>
      <c r="M27" s="81">
        <v>1</v>
      </c>
      <c r="N27" s="83">
        <f>K27*L27</f>
        <v>0</v>
      </c>
      <c r="O27" s="84">
        <v>2.4599999999999999E-3</v>
      </c>
      <c r="P27" s="84">
        <v>0</v>
      </c>
      <c r="Q27" s="84">
        <v>0.90200000000000002</v>
      </c>
      <c r="R27" s="74" t="s">
        <v>560</v>
      </c>
      <c r="S27" s="74"/>
      <c r="T27" s="74"/>
      <c r="U27" s="74"/>
    </row>
    <row r="28" spans="1:21" ht="17.25" customHeight="1">
      <c r="A28" s="73" t="s">
        <v>548</v>
      </c>
      <c r="B28" s="74"/>
      <c r="C28" s="75" t="s">
        <v>554</v>
      </c>
      <c r="D28" s="85" t="s">
        <v>575</v>
      </c>
      <c r="E28" s="77">
        <v>24</v>
      </c>
      <c r="F28" s="78" t="s">
        <v>64</v>
      </c>
      <c r="G28" s="74" t="s">
        <v>565</v>
      </c>
      <c r="H28" s="74" t="s">
        <v>609</v>
      </c>
      <c r="I28" s="86" t="s">
        <v>610</v>
      </c>
      <c r="J28" s="80" t="s">
        <v>574</v>
      </c>
      <c r="K28" s="81">
        <f>41+30</f>
        <v>71</v>
      </c>
      <c r="L28" s="83">
        <v>0</v>
      </c>
      <c r="M28" s="81">
        <v>1</v>
      </c>
      <c r="N28" s="83">
        <f t="shared" ref="N28:N34" si="1">K28*L28</f>
        <v>0</v>
      </c>
      <c r="O28" s="84">
        <v>4.0999999999999999E-4</v>
      </c>
      <c r="P28" s="84"/>
      <c r="Q28" s="84"/>
      <c r="R28" s="74" t="s">
        <v>560</v>
      </c>
      <c r="S28" s="74"/>
      <c r="T28" s="74"/>
      <c r="U28" s="74"/>
    </row>
    <row r="29" spans="1:21" ht="17.25" customHeight="1">
      <c r="A29" s="73" t="s">
        <v>548</v>
      </c>
      <c r="B29" s="74"/>
      <c r="C29" s="75" t="s">
        <v>554</v>
      </c>
      <c r="D29" s="76" t="s">
        <v>555</v>
      </c>
      <c r="E29" s="77">
        <v>25</v>
      </c>
      <c r="F29" s="78" t="s">
        <v>556</v>
      </c>
      <c r="G29" s="74" t="s">
        <v>64</v>
      </c>
      <c r="H29" s="74" t="s">
        <v>611</v>
      </c>
      <c r="I29" s="79" t="s">
        <v>612</v>
      </c>
      <c r="J29" s="80" t="s">
        <v>574</v>
      </c>
      <c r="K29" s="81">
        <f>26+30</f>
        <v>56</v>
      </c>
      <c r="L29" s="83">
        <v>0</v>
      </c>
      <c r="M29" s="81">
        <v>1</v>
      </c>
      <c r="N29" s="83">
        <f t="shared" si="1"/>
        <v>0</v>
      </c>
      <c r="O29" s="84">
        <v>0</v>
      </c>
      <c r="P29" s="84">
        <v>0</v>
      </c>
      <c r="Q29" s="84">
        <v>14.013999999999999</v>
      </c>
      <c r="R29" s="74" t="s">
        <v>560</v>
      </c>
      <c r="S29" s="74"/>
      <c r="T29" s="74"/>
      <c r="U29" s="74"/>
    </row>
    <row r="30" spans="1:21" ht="17.25" customHeight="1">
      <c r="A30" s="73" t="s">
        <v>548</v>
      </c>
      <c r="B30" s="74"/>
      <c r="C30" s="75" t="s">
        <v>554</v>
      </c>
      <c r="D30" s="76" t="s">
        <v>555</v>
      </c>
      <c r="E30" s="77">
        <v>26</v>
      </c>
      <c r="F30" s="78" t="s">
        <v>556</v>
      </c>
      <c r="G30" s="74" t="s">
        <v>64</v>
      </c>
      <c r="H30" s="74" t="s">
        <v>613</v>
      </c>
      <c r="I30" s="79" t="s">
        <v>614</v>
      </c>
      <c r="J30" s="80" t="s">
        <v>574</v>
      </c>
      <c r="K30" s="81">
        <v>12</v>
      </c>
      <c r="L30" s="83">
        <v>0</v>
      </c>
      <c r="M30" s="81">
        <v>1</v>
      </c>
      <c r="N30" s="83">
        <f t="shared" si="1"/>
        <v>0</v>
      </c>
      <c r="O30" s="84">
        <v>0</v>
      </c>
      <c r="P30" s="84">
        <v>0</v>
      </c>
      <c r="Q30" s="84">
        <v>8.0760000000000005</v>
      </c>
      <c r="R30" s="74" t="s">
        <v>560</v>
      </c>
      <c r="S30" s="74"/>
      <c r="T30" s="74"/>
      <c r="U30" s="74"/>
    </row>
    <row r="31" spans="1:21" ht="17.25" customHeight="1">
      <c r="A31" s="73" t="s">
        <v>548</v>
      </c>
      <c r="B31" s="74"/>
      <c r="C31" s="75" t="s">
        <v>554</v>
      </c>
      <c r="D31" s="76" t="s">
        <v>555</v>
      </c>
      <c r="E31" s="77">
        <v>27</v>
      </c>
      <c r="F31" s="78" t="s">
        <v>556</v>
      </c>
      <c r="G31" s="74" t="s">
        <v>64</v>
      </c>
      <c r="H31" s="74" t="s">
        <v>615</v>
      </c>
      <c r="I31" s="79" t="s">
        <v>616</v>
      </c>
      <c r="J31" s="80" t="s">
        <v>617</v>
      </c>
      <c r="K31" s="81">
        <v>44.8</v>
      </c>
      <c r="L31" s="83">
        <v>0</v>
      </c>
      <c r="M31" s="81">
        <v>1</v>
      </c>
      <c r="N31" s="83">
        <f t="shared" si="1"/>
        <v>0</v>
      </c>
      <c r="O31" s="84">
        <v>0</v>
      </c>
      <c r="P31" s="84">
        <v>0</v>
      </c>
      <c r="Q31" s="84">
        <v>3.0703999999999998</v>
      </c>
      <c r="R31" s="74" t="s">
        <v>560</v>
      </c>
      <c r="S31" s="74"/>
      <c r="T31" s="74"/>
      <c r="U31" s="74"/>
    </row>
    <row r="32" spans="1:21" ht="17.25" customHeight="1">
      <c r="A32" s="73" t="s">
        <v>548</v>
      </c>
      <c r="B32" s="74"/>
      <c r="C32" s="75" t="s">
        <v>554</v>
      </c>
      <c r="D32" s="76" t="s">
        <v>555</v>
      </c>
      <c r="E32" s="77">
        <v>28</v>
      </c>
      <c r="F32" s="78" t="s">
        <v>556</v>
      </c>
      <c r="G32" s="74" t="s">
        <v>64</v>
      </c>
      <c r="H32" s="74" t="s">
        <v>618</v>
      </c>
      <c r="I32" s="79" t="s">
        <v>619</v>
      </c>
      <c r="J32" s="80" t="s">
        <v>620</v>
      </c>
      <c r="K32" s="81">
        <v>0.28799999999999998</v>
      </c>
      <c r="L32" s="83">
        <v>0</v>
      </c>
      <c r="M32" s="81">
        <v>1</v>
      </c>
      <c r="N32" s="83">
        <f t="shared" si="1"/>
        <v>0</v>
      </c>
      <c r="O32" s="84">
        <v>0</v>
      </c>
      <c r="P32" s="84">
        <v>0</v>
      </c>
      <c r="Q32" s="84">
        <v>1.8535680000000001</v>
      </c>
      <c r="R32" s="74" t="s">
        <v>560</v>
      </c>
      <c r="S32" s="74"/>
      <c r="T32" s="74"/>
      <c r="U32" s="74"/>
    </row>
    <row r="33" spans="1:21" ht="17.25" customHeight="1">
      <c r="A33" s="73" t="s">
        <v>548</v>
      </c>
      <c r="B33" s="74"/>
      <c r="C33" s="75" t="s">
        <v>554</v>
      </c>
      <c r="D33" s="76" t="s">
        <v>555</v>
      </c>
      <c r="E33" s="77">
        <v>29</v>
      </c>
      <c r="F33" s="78" t="s">
        <v>556</v>
      </c>
      <c r="G33" s="74" t="s">
        <v>64</v>
      </c>
      <c r="H33" s="74" t="s">
        <v>621</v>
      </c>
      <c r="I33" s="79" t="s">
        <v>622</v>
      </c>
      <c r="J33" s="80" t="s">
        <v>623</v>
      </c>
      <c r="K33" s="81">
        <v>0.374</v>
      </c>
      <c r="L33" s="83">
        <v>0</v>
      </c>
      <c r="M33" s="81">
        <v>1</v>
      </c>
      <c r="N33" s="83">
        <f t="shared" si="1"/>
        <v>0</v>
      </c>
      <c r="O33" s="84">
        <v>0</v>
      </c>
      <c r="P33" s="84">
        <v>0</v>
      </c>
      <c r="Q33" s="84">
        <v>0.28872799999999998</v>
      </c>
      <c r="R33" s="74" t="s">
        <v>560</v>
      </c>
      <c r="S33" s="74"/>
      <c r="T33" s="74"/>
      <c r="U33" s="74"/>
    </row>
    <row r="34" spans="1:21" ht="17.25" customHeight="1">
      <c r="A34" s="73" t="s">
        <v>548</v>
      </c>
      <c r="B34" s="74"/>
      <c r="C34" s="75" t="s">
        <v>554</v>
      </c>
      <c r="D34" s="76" t="s">
        <v>555</v>
      </c>
      <c r="E34" s="77">
        <v>30</v>
      </c>
      <c r="F34" s="78" t="s">
        <v>556</v>
      </c>
      <c r="G34" s="74" t="s">
        <v>64</v>
      </c>
      <c r="H34" s="74" t="s">
        <v>624</v>
      </c>
      <c r="I34" s="79" t="s">
        <v>625</v>
      </c>
      <c r="J34" s="80" t="s">
        <v>623</v>
      </c>
      <c r="K34" s="81">
        <v>6.3579999999999997</v>
      </c>
      <c r="L34" s="83">
        <v>0</v>
      </c>
      <c r="M34" s="81">
        <v>1</v>
      </c>
      <c r="N34" s="83">
        <f t="shared" si="1"/>
        <v>0</v>
      </c>
      <c r="O34" s="84">
        <v>0</v>
      </c>
      <c r="P34" s="84">
        <v>0</v>
      </c>
      <c r="Q34" s="84">
        <v>5.0863999999999999E-2</v>
      </c>
      <c r="R34" s="74" t="s">
        <v>560</v>
      </c>
      <c r="S34" s="74"/>
      <c r="T34" s="74"/>
      <c r="U34" s="74"/>
    </row>
    <row r="35" spans="1:21" ht="25.5" customHeight="1">
      <c r="A35" s="73"/>
      <c r="B35" s="74"/>
      <c r="C35" s="75" t="s">
        <v>554</v>
      </c>
      <c r="D35" s="76" t="s">
        <v>555</v>
      </c>
      <c r="E35" s="77">
        <v>31</v>
      </c>
      <c r="F35" s="78" t="s">
        <v>556</v>
      </c>
      <c r="G35" s="74" t="s">
        <v>64</v>
      </c>
      <c r="H35" s="74" t="s">
        <v>626</v>
      </c>
      <c r="I35" s="79" t="s">
        <v>627</v>
      </c>
      <c r="J35" s="80" t="s">
        <v>559</v>
      </c>
      <c r="K35" s="81">
        <v>2</v>
      </c>
      <c r="L35" s="83">
        <v>0</v>
      </c>
      <c r="M35" s="81">
        <v>1</v>
      </c>
      <c r="N35" s="83">
        <f>K35*L35</f>
        <v>0</v>
      </c>
      <c r="O35" s="84"/>
      <c r="P35" s="84"/>
      <c r="Q35" s="84"/>
      <c r="R35" s="74"/>
      <c r="S35" s="74"/>
      <c r="T35" s="74"/>
      <c r="U35" s="74"/>
    </row>
    <row r="36" spans="1:21" ht="17.25" customHeight="1">
      <c r="A36" s="73"/>
      <c r="B36" s="74"/>
      <c r="C36" s="75" t="s">
        <v>554</v>
      </c>
      <c r="D36" s="76" t="s">
        <v>555</v>
      </c>
      <c r="E36" s="77">
        <v>32</v>
      </c>
      <c r="F36" s="78" t="s">
        <v>556</v>
      </c>
      <c r="G36" s="74" t="s">
        <v>64</v>
      </c>
      <c r="H36" s="74" t="s">
        <v>628</v>
      </c>
      <c r="I36" s="79" t="s">
        <v>629</v>
      </c>
      <c r="J36" s="80" t="s">
        <v>620</v>
      </c>
      <c r="K36" s="81">
        <f>0.6*0.6*0.8*2</f>
        <v>0.57600000000000018</v>
      </c>
      <c r="L36" s="83">
        <v>0</v>
      </c>
      <c r="M36" s="81">
        <v>1</v>
      </c>
      <c r="N36" s="83">
        <f>K36*L36</f>
        <v>0</v>
      </c>
      <c r="O36" s="84"/>
      <c r="P36" s="84"/>
      <c r="Q36" s="84"/>
      <c r="R36" s="74"/>
      <c r="S36" s="74"/>
      <c r="T36" s="74"/>
      <c r="U36" s="74"/>
    </row>
    <row r="37" spans="1:21" ht="17.25" customHeight="1">
      <c r="A37" s="62" t="s">
        <v>548</v>
      </c>
      <c r="B37" s="63"/>
      <c r="C37" s="64" t="s">
        <v>630</v>
      </c>
      <c r="D37" s="65"/>
      <c r="E37" s="66">
        <v>0</v>
      </c>
      <c r="F37" s="65" t="s">
        <v>549</v>
      </c>
      <c r="G37" s="63"/>
      <c r="H37" s="63" t="s">
        <v>631</v>
      </c>
      <c r="I37" s="67" t="s">
        <v>632</v>
      </c>
      <c r="J37" s="68"/>
      <c r="K37" s="69"/>
      <c r="L37" s="70"/>
      <c r="M37" s="71"/>
      <c r="N37" s="72">
        <f>N38+N48+N50+N57+N59</f>
        <v>0</v>
      </c>
      <c r="O37" s="71">
        <v>0</v>
      </c>
      <c r="P37" s="71">
        <v>0</v>
      </c>
      <c r="Q37" s="71">
        <v>9.4499999999999993</v>
      </c>
      <c r="R37" s="63"/>
      <c r="S37" s="63"/>
      <c r="T37" s="63"/>
      <c r="U37" s="64"/>
    </row>
    <row r="38" spans="1:21" ht="17.25" customHeight="1">
      <c r="A38" s="62" t="s">
        <v>548</v>
      </c>
      <c r="B38" s="63"/>
      <c r="C38" s="64" t="s">
        <v>551</v>
      </c>
      <c r="D38" s="65"/>
      <c r="E38" s="66">
        <v>0</v>
      </c>
      <c r="F38" s="65" t="s">
        <v>549</v>
      </c>
      <c r="G38" s="63"/>
      <c r="H38" s="63" t="s">
        <v>633</v>
      </c>
      <c r="I38" s="67" t="s">
        <v>634</v>
      </c>
      <c r="J38" s="68"/>
      <c r="K38" s="69"/>
      <c r="L38" s="70"/>
      <c r="M38" s="71"/>
      <c r="N38" s="70">
        <f>SUM(N39:N47)</f>
        <v>0</v>
      </c>
      <c r="O38" s="71">
        <v>0</v>
      </c>
      <c r="P38" s="71">
        <v>0</v>
      </c>
      <c r="Q38" s="71">
        <v>5.45</v>
      </c>
      <c r="R38" s="63"/>
      <c r="S38" s="63"/>
      <c r="T38" s="63"/>
      <c r="U38" s="70"/>
    </row>
    <row r="39" spans="1:21" ht="27.75" customHeight="1">
      <c r="A39" s="73" t="s">
        <v>548</v>
      </c>
      <c r="B39" s="74"/>
      <c r="C39" s="75" t="s">
        <v>554</v>
      </c>
      <c r="D39" s="76" t="s">
        <v>555</v>
      </c>
      <c r="E39" s="77">
        <v>33</v>
      </c>
      <c r="F39" s="78" t="s">
        <v>556</v>
      </c>
      <c r="G39" s="74" t="s">
        <v>64</v>
      </c>
      <c r="H39" s="74" t="s">
        <v>635</v>
      </c>
      <c r="I39" s="79" t="s">
        <v>636</v>
      </c>
      <c r="J39" s="80" t="s">
        <v>637</v>
      </c>
      <c r="K39" s="81">
        <v>3</v>
      </c>
      <c r="L39" s="83">
        <v>0</v>
      </c>
      <c r="M39" s="81">
        <v>1</v>
      </c>
      <c r="N39" s="83">
        <f>K39*L39</f>
        <v>0</v>
      </c>
      <c r="O39" s="84">
        <v>0</v>
      </c>
      <c r="P39" s="84">
        <v>0</v>
      </c>
      <c r="Q39" s="84">
        <v>0.63</v>
      </c>
      <c r="R39" s="74" t="s">
        <v>560</v>
      </c>
      <c r="S39" s="74"/>
      <c r="T39" s="74"/>
      <c r="U39" s="74"/>
    </row>
    <row r="40" spans="1:21" ht="27.75" customHeight="1">
      <c r="A40" s="73" t="s">
        <v>548</v>
      </c>
      <c r="B40" s="74"/>
      <c r="C40" s="75" t="s">
        <v>554</v>
      </c>
      <c r="D40" s="76" t="s">
        <v>555</v>
      </c>
      <c r="E40" s="77">
        <v>34</v>
      </c>
      <c r="F40" s="78" t="s">
        <v>556</v>
      </c>
      <c r="G40" s="74" t="s">
        <v>64</v>
      </c>
      <c r="H40" s="74" t="s">
        <v>638</v>
      </c>
      <c r="I40" s="79" t="s">
        <v>639</v>
      </c>
      <c r="J40" s="80" t="s">
        <v>559</v>
      </c>
      <c r="K40" s="81">
        <v>4</v>
      </c>
      <c r="L40" s="83">
        <v>0</v>
      </c>
      <c r="M40" s="81">
        <v>1</v>
      </c>
      <c r="N40" s="83">
        <f t="shared" ref="N40:N47" si="2">K40*L40</f>
        <v>0</v>
      </c>
      <c r="O40" s="84">
        <v>0</v>
      </c>
      <c r="P40" s="84">
        <v>0</v>
      </c>
      <c r="Q40" s="84">
        <v>0.52</v>
      </c>
      <c r="R40" s="74" t="s">
        <v>560</v>
      </c>
      <c r="S40" s="74"/>
      <c r="T40" s="74"/>
      <c r="U40" s="74"/>
    </row>
    <row r="41" spans="1:21" ht="27.75" customHeight="1">
      <c r="A41" s="73" t="s">
        <v>548</v>
      </c>
      <c r="B41" s="74"/>
      <c r="C41" s="75" t="s">
        <v>554</v>
      </c>
      <c r="D41" s="76" t="s">
        <v>555</v>
      </c>
      <c r="E41" s="77">
        <v>35</v>
      </c>
      <c r="F41" s="78" t="s">
        <v>556</v>
      </c>
      <c r="G41" s="74" t="s">
        <v>64</v>
      </c>
      <c r="H41" s="74" t="s">
        <v>640</v>
      </c>
      <c r="I41" s="79" t="s">
        <v>641</v>
      </c>
      <c r="J41" s="80" t="s">
        <v>642</v>
      </c>
      <c r="K41" s="81">
        <v>3</v>
      </c>
      <c r="L41" s="83">
        <v>0</v>
      </c>
      <c r="M41" s="81">
        <v>1</v>
      </c>
      <c r="N41" s="83">
        <f t="shared" si="2"/>
        <v>0</v>
      </c>
      <c r="O41" s="84">
        <v>0</v>
      </c>
      <c r="P41" s="84">
        <v>0</v>
      </c>
      <c r="Q41" s="84">
        <v>0.12</v>
      </c>
      <c r="R41" s="74" t="s">
        <v>560</v>
      </c>
      <c r="S41" s="74"/>
      <c r="T41" s="74"/>
      <c r="U41" s="74"/>
    </row>
    <row r="42" spans="1:21" ht="27.75" customHeight="1">
      <c r="A42" s="73" t="s">
        <v>548</v>
      </c>
      <c r="B42" s="74"/>
      <c r="C42" s="75" t="s">
        <v>554</v>
      </c>
      <c r="D42" s="76" t="s">
        <v>555</v>
      </c>
      <c r="E42" s="77">
        <v>36</v>
      </c>
      <c r="F42" s="78" t="s">
        <v>556</v>
      </c>
      <c r="G42" s="74" t="s">
        <v>64</v>
      </c>
      <c r="H42" s="74" t="s">
        <v>643</v>
      </c>
      <c r="I42" s="79" t="s">
        <v>644</v>
      </c>
      <c r="J42" s="80" t="s">
        <v>642</v>
      </c>
      <c r="K42" s="81">
        <v>5</v>
      </c>
      <c r="L42" s="83">
        <v>0</v>
      </c>
      <c r="M42" s="81">
        <v>1</v>
      </c>
      <c r="N42" s="83">
        <f t="shared" si="2"/>
        <v>0</v>
      </c>
      <c r="O42" s="84">
        <v>0</v>
      </c>
      <c r="P42" s="84">
        <v>0</v>
      </c>
      <c r="Q42" s="84">
        <v>0.12</v>
      </c>
      <c r="R42" s="74" t="s">
        <v>560</v>
      </c>
      <c r="S42" s="74"/>
      <c r="T42" s="74"/>
      <c r="U42" s="74"/>
    </row>
    <row r="43" spans="1:21" ht="27.75" customHeight="1">
      <c r="A43" s="73" t="s">
        <v>548</v>
      </c>
      <c r="B43" s="74"/>
      <c r="C43" s="75" t="s">
        <v>554</v>
      </c>
      <c r="D43" s="76" t="s">
        <v>555</v>
      </c>
      <c r="E43" s="77">
        <v>37</v>
      </c>
      <c r="F43" s="78" t="s">
        <v>556</v>
      </c>
      <c r="G43" s="74" t="s">
        <v>64</v>
      </c>
      <c r="H43" s="74" t="s">
        <v>645</v>
      </c>
      <c r="I43" s="79" t="s">
        <v>646</v>
      </c>
      <c r="J43" s="80" t="s">
        <v>642</v>
      </c>
      <c r="K43" s="81">
        <v>5</v>
      </c>
      <c r="L43" s="83">
        <v>0</v>
      </c>
      <c r="M43" s="81">
        <v>1</v>
      </c>
      <c r="N43" s="83">
        <f t="shared" si="2"/>
        <v>0</v>
      </c>
      <c r="O43" s="84">
        <v>0</v>
      </c>
      <c r="P43" s="84">
        <v>0</v>
      </c>
      <c r="Q43" s="84">
        <v>1.8</v>
      </c>
      <c r="R43" s="74" t="s">
        <v>560</v>
      </c>
      <c r="S43" s="74"/>
      <c r="T43" s="74"/>
      <c r="U43" s="74"/>
    </row>
    <row r="44" spans="1:21" ht="17.25" customHeight="1">
      <c r="A44" s="73" t="s">
        <v>548</v>
      </c>
      <c r="B44" s="74"/>
      <c r="C44" s="75" t="s">
        <v>554</v>
      </c>
      <c r="D44" s="76" t="s">
        <v>555</v>
      </c>
      <c r="E44" s="77">
        <v>38</v>
      </c>
      <c r="F44" s="78" t="s">
        <v>556</v>
      </c>
      <c r="G44" s="74" t="s">
        <v>64</v>
      </c>
      <c r="H44" s="74" t="s">
        <v>647</v>
      </c>
      <c r="I44" s="79" t="s">
        <v>648</v>
      </c>
      <c r="J44" s="80" t="s">
        <v>642</v>
      </c>
      <c r="K44" s="81">
        <v>5</v>
      </c>
      <c r="L44" s="83">
        <v>0</v>
      </c>
      <c r="M44" s="81">
        <v>1</v>
      </c>
      <c r="N44" s="83">
        <f t="shared" si="2"/>
        <v>0</v>
      </c>
      <c r="O44" s="84">
        <v>0</v>
      </c>
      <c r="P44" s="84">
        <v>0</v>
      </c>
      <c r="Q44" s="84">
        <v>0.72</v>
      </c>
      <c r="R44" s="74" t="s">
        <v>560</v>
      </c>
      <c r="S44" s="74"/>
      <c r="T44" s="74"/>
      <c r="U44" s="74"/>
    </row>
    <row r="45" spans="1:21" ht="17.25" customHeight="1">
      <c r="A45" s="73" t="s">
        <v>548</v>
      </c>
      <c r="B45" s="74"/>
      <c r="C45" s="75" t="s">
        <v>554</v>
      </c>
      <c r="D45" s="76" t="s">
        <v>555</v>
      </c>
      <c r="E45" s="77">
        <v>39</v>
      </c>
      <c r="F45" s="78" t="s">
        <v>556</v>
      </c>
      <c r="G45" s="74" t="s">
        <v>64</v>
      </c>
      <c r="H45" s="74" t="s">
        <v>649</v>
      </c>
      <c r="I45" s="79" t="s">
        <v>650</v>
      </c>
      <c r="J45" s="80" t="s">
        <v>559</v>
      </c>
      <c r="K45" s="81">
        <v>5</v>
      </c>
      <c r="L45" s="83">
        <v>0</v>
      </c>
      <c r="M45" s="81">
        <v>1</v>
      </c>
      <c r="N45" s="83">
        <f t="shared" si="2"/>
        <v>0</v>
      </c>
      <c r="O45" s="84">
        <v>0</v>
      </c>
      <c r="P45" s="84">
        <v>0</v>
      </c>
      <c r="Q45" s="84">
        <v>0.51</v>
      </c>
      <c r="R45" s="74" t="s">
        <v>560</v>
      </c>
      <c r="S45" s="74"/>
      <c r="T45" s="74"/>
      <c r="U45" s="74"/>
    </row>
    <row r="46" spans="1:21" ht="27.75" customHeight="1">
      <c r="A46" s="73" t="s">
        <v>548</v>
      </c>
      <c r="B46" s="74"/>
      <c r="C46" s="75" t="s">
        <v>554</v>
      </c>
      <c r="D46" s="76" t="s">
        <v>555</v>
      </c>
      <c r="E46" s="77">
        <v>40</v>
      </c>
      <c r="F46" s="78" t="s">
        <v>556</v>
      </c>
      <c r="G46" s="74" t="s">
        <v>64</v>
      </c>
      <c r="H46" s="74" t="s">
        <v>651</v>
      </c>
      <c r="I46" s="79" t="s">
        <v>652</v>
      </c>
      <c r="J46" s="80" t="s">
        <v>559</v>
      </c>
      <c r="K46" s="81">
        <v>1</v>
      </c>
      <c r="L46" s="83">
        <v>0</v>
      </c>
      <c r="M46" s="81">
        <v>1</v>
      </c>
      <c r="N46" s="83">
        <f t="shared" si="2"/>
        <v>0</v>
      </c>
      <c r="O46" s="84">
        <v>0</v>
      </c>
      <c r="P46" s="84">
        <v>0</v>
      </c>
      <c r="Q46" s="84">
        <v>0.13</v>
      </c>
      <c r="R46" s="74" t="s">
        <v>560</v>
      </c>
      <c r="S46" s="74"/>
      <c r="T46" s="74"/>
      <c r="U46" s="74"/>
    </row>
    <row r="47" spans="1:21" ht="17.25" customHeight="1">
      <c r="A47" s="73" t="s">
        <v>548</v>
      </c>
      <c r="B47" s="74"/>
      <c r="C47" s="75" t="s">
        <v>554</v>
      </c>
      <c r="D47" s="76" t="s">
        <v>555</v>
      </c>
      <c r="E47" s="77">
        <v>41</v>
      </c>
      <c r="F47" s="78" t="s">
        <v>556</v>
      </c>
      <c r="G47" s="74" t="s">
        <v>64</v>
      </c>
      <c r="H47" s="74" t="s">
        <v>653</v>
      </c>
      <c r="I47" s="79" t="s">
        <v>654</v>
      </c>
      <c r="J47" s="80" t="s">
        <v>559</v>
      </c>
      <c r="K47" s="81">
        <v>5</v>
      </c>
      <c r="L47" s="83">
        <v>0</v>
      </c>
      <c r="M47" s="81">
        <v>1</v>
      </c>
      <c r="N47" s="83">
        <f t="shared" si="2"/>
        <v>0</v>
      </c>
      <c r="O47" s="84">
        <v>0</v>
      </c>
      <c r="P47" s="84">
        <v>0</v>
      </c>
      <c r="Q47" s="84">
        <v>0.9</v>
      </c>
      <c r="R47" s="74" t="s">
        <v>560</v>
      </c>
      <c r="S47" s="74"/>
      <c r="T47" s="74"/>
      <c r="U47" s="74"/>
    </row>
    <row r="48" spans="1:21" ht="17.25" customHeight="1">
      <c r="A48" s="62" t="s">
        <v>548</v>
      </c>
      <c r="B48" s="63"/>
      <c r="C48" s="64" t="s">
        <v>551</v>
      </c>
      <c r="D48" s="65"/>
      <c r="E48" s="66">
        <v>0</v>
      </c>
      <c r="F48" s="65" t="s">
        <v>549</v>
      </c>
      <c r="G48" s="63"/>
      <c r="H48" s="63" t="s">
        <v>655</v>
      </c>
      <c r="I48" s="67" t="s">
        <v>656</v>
      </c>
      <c r="J48" s="68"/>
      <c r="K48" s="69"/>
      <c r="L48" s="70"/>
      <c r="M48" s="71"/>
      <c r="N48" s="70">
        <v>0</v>
      </c>
      <c r="O48" s="71">
        <v>0</v>
      </c>
      <c r="P48" s="71">
        <v>0</v>
      </c>
      <c r="Q48" s="71">
        <v>4</v>
      </c>
      <c r="R48" s="63"/>
      <c r="S48" s="63"/>
      <c r="T48" s="63"/>
      <c r="U48" s="64"/>
    </row>
    <row r="49" spans="1:21" ht="17.25" customHeight="1">
      <c r="A49" s="73" t="s">
        <v>548</v>
      </c>
      <c r="B49" s="74"/>
      <c r="C49" s="75" t="s">
        <v>554</v>
      </c>
      <c r="D49" s="76" t="s">
        <v>555</v>
      </c>
      <c r="E49" s="77">
        <v>42</v>
      </c>
      <c r="F49" s="78" t="s">
        <v>556</v>
      </c>
      <c r="G49" s="74" t="s">
        <v>655</v>
      </c>
      <c r="H49" s="74" t="s">
        <v>657</v>
      </c>
      <c r="I49" s="79" t="s">
        <v>658</v>
      </c>
      <c r="J49" s="80" t="s">
        <v>659</v>
      </c>
      <c r="K49" s="81">
        <v>4</v>
      </c>
      <c r="L49" s="83">
        <v>0</v>
      </c>
      <c r="M49" s="81">
        <v>1</v>
      </c>
      <c r="N49" s="83">
        <f>K49*L49</f>
        <v>0</v>
      </c>
      <c r="O49" s="84">
        <v>0</v>
      </c>
      <c r="P49" s="84">
        <v>0</v>
      </c>
      <c r="Q49" s="84">
        <v>4</v>
      </c>
      <c r="R49" s="74" t="s">
        <v>560</v>
      </c>
      <c r="S49" s="74"/>
      <c r="T49" s="74"/>
      <c r="U49" s="74"/>
    </row>
    <row r="50" spans="1:21" ht="17.25" customHeight="1">
      <c r="A50" s="62" t="s">
        <v>548</v>
      </c>
      <c r="B50" s="63"/>
      <c r="C50" s="64" t="s">
        <v>551</v>
      </c>
      <c r="D50" s="65"/>
      <c r="E50" s="66">
        <v>0</v>
      </c>
      <c r="F50" s="65" t="s">
        <v>549</v>
      </c>
      <c r="G50" s="63"/>
      <c r="H50" s="63" t="s">
        <v>660</v>
      </c>
      <c r="I50" s="67" t="s">
        <v>661</v>
      </c>
      <c r="J50" s="68"/>
      <c r="K50" s="69"/>
      <c r="L50" s="70"/>
      <c r="M50" s="71"/>
      <c r="N50" s="70">
        <f>SUM(N51:N56)</f>
        <v>0</v>
      </c>
      <c r="O50" s="71">
        <v>0</v>
      </c>
      <c r="P50" s="71">
        <v>0</v>
      </c>
      <c r="Q50" s="71">
        <v>0</v>
      </c>
      <c r="R50" s="63"/>
      <c r="S50" s="63"/>
      <c r="T50" s="63"/>
      <c r="U50" s="64"/>
    </row>
    <row r="51" spans="1:21" ht="17.25" customHeight="1">
      <c r="A51" s="73" t="s">
        <v>548</v>
      </c>
      <c r="B51" s="74"/>
      <c r="C51" s="75" t="s">
        <v>554</v>
      </c>
      <c r="D51" s="87" t="s">
        <v>662</v>
      </c>
      <c r="E51" s="77">
        <v>43</v>
      </c>
      <c r="F51" s="78" t="s">
        <v>556</v>
      </c>
      <c r="G51" s="74" t="s">
        <v>631</v>
      </c>
      <c r="H51" s="74" t="s">
        <v>663</v>
      </c>
      <c r="I51" s="79" t="s">
        <v>664</v>
      </c>
      <c r="J51" s="80" t="s">
        <v>659</v>
      </c>
      <c r="K51" s="81">
        <v>8</v>
      </c>
      <c r="L51" s="83">
        <v>0</v>
      </c>
      <c r="M51" s="81">
        <v>1</v>
      </c>
      <c r="N51" s="83">
        <f t="shared" ref="N51:N56" si="3">K51*L51</f>
        <v>0</v>
      </c>
      <c r="O51" s="84">
        <v>0</v>
      </c>
      <c r="P51" s="84">
        <v>0</v>
      </c>
      <c r="Q51" s="84">
        <v>0</v>
      </c>
      <c r="R51" s="74" t="s">
        <v>560</v>
      </c>
      <c r="S51" s="74"/>
      <c r="T51" s="74"/>
      <c r="U51" s="74"/>
    </row>
    <row r="52" spans="1:21" ht="17.25" customHeight="1">
      <c r="A52" s="73" t="s">
        <v>548</v>
      </c>
      <c r="B52" s="74"/>
      <c r="C52" s="75" t="s">
        <v>554</v>
      </c>
      <c r="D52" s="87" t="s">
        <v>662</v>
      </c>
      <c r="E52" s="77">
        <v>44</v>
      </c>
      <c r="F52" s="78" t="s">
        <v>556</v>
      </c>
      <c r="G52" s="74" t="s">
        <v>631</v>
      </c>
      <c r="H52" s="74" t="s">
        <v>665</v>
      </c>
      <c r="I52" s="79" t="s">
        <v>666</v>
      </c>
      <c r="J52" s="80" t="s">
        <v>659</v>
      </c>
      <c r="K52" s="81">
        <v>8</v>
      </c>
      <c r="L52" s="83">
        <v>0</v>
      </c>
      <c r="M52" s="81">
        <v>1</v>
      </c>
      <c r="N52" s="83">
        <f t="shared" si="3"/>
        <v>0</v>
      </c>
      <c r="O52" s="84">
        <v>0</v>
      </c>
      <c r="P52" s="84">
        <v>0</v>
      </c>
      <c r="Q52" s="84">
        <v>0</v>
      </c>
      <c r="R52" s="74" t="s">
        <v>560</v>
      </c>
      <c r="S52" s="74"/>
      <c r="T52" s="74"/>
      <c r="U52" s="74"/>
    </row>
    <row r="53" spans="1:21" ht="17.25" customHeight="1">
      <c r="A53" s="73" t="s">
        <v>548</v>
      </c>
      <c r="B53" s="74"/>
      <c r="C53" s="75" t="s">
        <v>554</v>
      </c>
      <c r="D53" s="87" t="s">
        <v>662</v>
      </c>
      <c r="E53" s="77">
        <v>45</v>
      </c>
      <c r="F53" s="78" t="s">
        <v>556</v>
      </c>
      <c r="G53" s="74" t="s">
        <v>631</v>
      </c>
      <c r="H53" s="74" t="s">
        <v>667</v>
      </c>
      <c r="I53" s="79" t="s">
        <v>668</v>
      </c>
      <c r="J53" s="80" t="s">
        <v>659</v>
      </c>
      <c r="K53" s="81">
        <v>2</v>
      </c>
      <c r="L53" s="83">
        <v>0</v>
      </c>
      <c r="M53" s="81">
        <v>1</v>
      </c>
      <c r="N53" s="83">
        <f t="shared" si="3"/>
        <v>0</v>
      </c>
      <c r="O53" s="84">
        <v>0</v>
      </c>
      <c r="P53" s="84">
        <v>0</v>
      </c>
      <c r="Q53" s="84">
        <v>0</v>
      </c>
      <c r="R53" s="74" t="s">
        <v>560</v>
      </c>
      <c r="S53" s="74"/>
      <c r="T53" s="74"/>
      <c r="U53" s="74"/>
    </row>
    <row r="54" spans="1:21" ht="17.25" customHeight="1">
      <c r="A54" s="73" t="s">
        <v>548</v>
      </c>
      <c r="B54" s="74"/>
      <c r="C54" s="75" t="s">
        <v>554</v>
      </c>
      <c r="D54" s="87" t="s">
        <v>662</v>
      </c>
      <c r="E54" s="77">
        <v>46</v>
      </c>
      <c r="F54" s="78" t="s">
        <v>556</v>
      </c>
      <c r="G54" s="74" t="s">
        <v>631</v>
      </c>
      <c r="H54" s="74" t="s">
        <v>669</v>
      </c>
      <c r="I54" s="79" t="s">
        <v>670</v>
      </c>
      <c r="J54" s="80" t="s">
        <v>671</v>
      </c>
      <c r="K54" s="81">
        <v>1</v>
      </c>
      <c r="L54" s="83">
        <v>0</v>
      </c>
      <c r="M54" s="81">
        <v>1</v>
      </c>
      <c r="N54" s="83">
        <f t="shared" si="3"/>
        <v>0</v>
      </c>
      <c r="O54" s="84">
        <v>0</v>
      </c>
      <c r="P54" s="84">
        <v>0</v>
      </c>
      <c r="Q54" s="84">
        <v>0</v>
      </c>
      <c r="R54" s="74" t="s">
        <v>560</v>
      </c>
      <c r="S54" s="74"/>
      <c r="T54" s="74"/>
      <c r="U54" s="74"/>
    </row>
    <row r="55" spans="1:21" ht="17.25" customHeight="1">
      <c r="A55" s="73" t="s">
        <v>548</v>
      </c>
      <c r="B55" s="74"/>
      <c r="C55" s="75" t="s">
        <v>554</v>
      </c>
      <c r="D55" s="87" t="s">
        <v>662</v>
      </c>
      <c r="E55" s="77">
        <v>47</v>
      </c>
      <c r="F55" s="78" t="s">
        <v>556</v>
      </c>
      <c r="G55" s="74" t="s">
        <v>631</v>
      </c>
      <c r="H55" s="74" t="s">
        <v>672</v>
      </c>
      <c r="I55" s="79" t="s">
        <v>673</v>
      </c>
      <c r="J55" s="80" t="s">
        <v>671</v>
      </c>
      <c r="K55" s="81">
        <v>1</v>
      </c>
      <c r="L55" s="83">
        <v>0</v>
      </c>
      <c r="M55" s="81">
        <v>1</v>
      </c>
      <c r="N55" s="83">
        <f t="shared" si="3"/>
        <v>0</v>
      </c>
      <c r="O55" s="84">
        <v>0</v>
      </c>
      <c r="P55" s="84">
        <v>0</v>
      </c>
      <c r="Q55" s="84">
        <v>0</v>
      </c>
      <c r="R55" s="74" t="s">
        <v>560</v>
      </c>
      <c r="S55" s="74"/>
      <c r="T55" s="74"/>
      <c r="U55" s="74"/>
    </row>
    <row r="56" spans="1:21" ht="17.25" customHeight="1">
      <c r="A56" s="73" t="s">
        <v>548</v>
      </c>
      <c r="B56" s="74"/>
      <c r="C56" s="75" t="s">
        <v>554</v>
      </c>
      <c r="D56" s="87" t="s">
        <v>662</v>
      </c>
      <c r="E56" s="77">
        <v>48</v>
      </c>
      <c r="F56" s="78" t="s">
        <v>556</v>
      </c>
      <c r="G56" s="74" t="s">
        <v>631</v>
      </c>
      <c r="H56" s="74" t="s">
        <v>674</v>
      </c>
      <c r="I56" s="79" t="s">
        <v>675</v>
      </c>
      <c r="J56" s="80" t="s">
        <v>671</v>
      </c>
      <c r="K56" s="81">
        <v>1</v>
      </c>
      <c r="L56" s="83">
        <v>0</v>
      </c>
      <c r="M56" s="81">
        <v>1</v>
      </c>
      <c r="N56" s="83">
        <f t="shared" si="3"/>
        <v>0</v>
      </c>
      <c r="O56" s="84">
        <v>0</v>
      </c>
      <c r="P56" s="84">
        <v>0</v>
      </c>
      <c r="Q56" s="84">
        <v>0</v>
      </c>
      <c r="R56" s="74" t="s">
        <v>560</v>
      </c>
      <c r="S56" s="74"/>
      <c r="T56" s="74"/>
      <c r="U56" s="74"/>
    </row>
    <row r="57" spans="1:21" ht="17.25" customHeight="1">
      <c r="A57" s="62" t="s">
        <v>548</v>
      </c>
      <c r="B57" s="63"/>
      <c r="C57" s="64" t="s">
        <v>551</v>
      </c>
      <c r="D57" s="65"/>
      <c r="E57" s="66">
        <v>0</v>
      </c>
      <c r="F57" s="65" t="s">
        <v>549</v>
      </c>
      <c r="G57" s="63"/>
      <c r="H57" s="63" t="s">
        <v>676</v>
      </c>
      <c r="I57" s="67" t="s">
        <v>677</v>
      </c>
      <c r="J57" s="68"/>
      <c r="K57" s="69"/>
      <c r="L57" s="70"/>
      <c r="M57" s="71"/>
      <c r="N57" s="70">
        <f>N58</f>
        <v>0</v>
      </c>
      <c r="O57" s="71">
        <v>0</v>
      </c>
      <c r="P57" s="71">
        <v>0</v>
      </c>
      <c r="Q57" s="71">
        <v>0</v>
      </c>
      <c r="R57" s="63"/>
      <c r="S57" s="63"/>
      <c r="T57" s="63"/>
      <c r="U57" s="64"/>
    </row>
    <row r="58" spans="1:21" ht="17.25" customHeight="1">
      <c r="A58" s="73" t="s">
        <v>548</v>
      </c>
      <c r="B58" s="74"/>
      <c r="C58" s="75" t="s">
        <v>554</v>
      </c>
      <c r="D58" s="87" t="s">
        <v>662</v>
      </c>
      <c r="E58" s="77">
        <v>49</v>
      </c>
      <c r="F58" s="78" t="s">
        <v>556</v>
      </c>
      <c r="G58" s="74" t="s">
        <v>631</v>
      </c>
      <c r="H58" s="74" t="s">
        <v>678</v>
      </c>
      <c r="I58" s="79" t="s">
        <v>679</v>
      </c>
      <c r="J58" s="80" t="s">
        <v>671</v>
      </c>
      <c r="K58" s="81">
        <v>1</v>
      </c>
      <c r="L58" s="83">
        <v>0</v>
      </c>
      <c r="M58" s="81">
        <v>1</v>
      </c>
      <c r="N58" s="83">
        <f>K58*L58</f>
        <v>0</v>
      </c>
      <c r="O58" s="84">
        <v>0</v>
      </c>
      <c r="P58" s="84">
        <v>0</v>
      </c>
      <c r="Q58" s="84">
        <v>0</v>
      </c>
      <c r="R58" s="74" t="s">
        <v>560</v>
      </c>
      <c r="S58" s="74"/>
      <c r="T58" s="74"/>
      <c r="U58" s="74"/>
    </row>
    <row r="59" spans="1:21" ht="17.25" customHeight="1">
      <c r="A59" s="62" t="s">
        <v>548</v>
      </c>
      <c r="B59" s="63"/>
      <c r="C59" s="64" t="s">
        <v>551</v>
      </c>
      <c r="D59" s="65"/>
      <c r="E59" s="66">
        <v>0</v>
      </c>
      <c r="F59" s="65" t="s">
        <v>549</v>
      </c>
      <c r="G59" s="63"/>
      <c r="H59" s="63" t="s">
        <v>680</v>
      </c>
      <c r="I59" s="67" t="s">
        <v>681</v>
      </c>
      <c r="J59" s="68"/>
      <c r="K59" s="69"/>
      <c r="L59" s="70"/>
      <c r="M59" s="71"/>
      <c r="N59" s="70">
        <f>N60</f>
        <v>0</v>
      </c>
      <c r="O59" s="71">
        <v>0</v>
      </c>
      <c r="P59" s="71">
        <v>0</v>
      </c>
      <c r="Q59" s="71">
        <v>0</v>
      </c>
      <c r="R59" s="63"/>
      <c r="S59" s="63"/>
      <c r="T59" s="63"/>
      <c r="U59" s="64"/>
    </row>
    <row r="60" spans="1:21" ht="17.25" customHeight="1">
      <c r="A60" s="73" t="s">
        <v>548</v>
      </c>
      <c r="B60" s="74"/>
      <c r="C60" s="75" t="s">
        <v>554</v>
      </c>
      <c r="D60" s="87" t="s">
        <v>662</v>
      </c>
      <c r="E60" s="77">
        <v>50</v>
      </c>
      <c r="F60" s="78" t="s">
        <v>556</v>
      </c>
      <c r="G60" s="74" t="s">
        <v>631</v>
      </c>
      <c r="H60" s="74" t="s">
        <v>682</v>
      </c>
      <c r="I60" s="79" t="s">
        <v>683</v>
      </c>
      <c r="J60" s="80" t="s">
        <v>671</v>
      </c>
      <c r="K60" s="81">
        <v>1</v>
      </c>
      <c r="L60" s="83">
        <v>0</v>
      </c>
      <c r="M60" s="81">
        <v>1</v>
      </c>
      <c r="N60" s="83">
        <f>K60*L60</f>
        <v>0</v>
      </c>
      <c r="O60" s="84">
        <v>0</v>
      </c>
      <c r="P60" s="84">
        <v>0</v>
      </c>
      <c r="Q60" s="84">
        <v>0</v>
      </c>
      <c r="R60" s="74" t="s">
        <v>560</v>
      </c>
      <c r="S60" s="74"/>
      <c r="T60" s="74"/>
      <c r="U60" s="74"/>
    </row>
    <row r="61" spans="1:21">
      <c r="I61" s="88" t="s">
        <v>684</v>
      </c>
      <c r="N61" s="89">
        <f>N2+N37</f>
        <v>0</v>
      </c>
    </row>
  </sheetData>
  <sheetProtection selectLockedCells="1" selectUnlockedCells="1"/>
  <pageMargins left="0.2" right="0.2" top="0.2" bottom="0.2" header="0.51180555555555551" footer="0.51180555555555551"/>
  <pageSetup paperSize="9" scale="73" firstPageNumber="0" fitToHeight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A1A55-0408-4140-945A-E8D2C2F35745}">
  <sheetPr>
    <tabColor theme="7" tint="0.39997558519241921"/>
    <pageSetUpPr fitToPage="1"/>
  </sheetPr>
  <dimension ref="A1:CM100"/>
  <sheetViews>
    <sheetView showGridLines="0" workbookViewId="0"/>
  </sheetViews>
  <sheetFormatPr defaultRowHeight="11.25"/>
  <cols>
    <col min="1" max="1" width="7.140625" style="91" customWidth="1"/>
    <col min="2" max="2" width="1.42578125" style="91" customWidth="1"/>
    <col min="3" max="3" width="3.5703125" style="91" customWidth="1"/>
    <col min="4" max="33" width="2.28515625" style="91" customWidth="1"/>
    <col min="34" max="34" width="2.85546875" style="91" customWidth="1"/>
    <col min="35" max="35" width="27.140625" style="91" customWidth="1"/>
    <col min="36" max="37" width="2.140625" style="91" customWidth="1"/>
    <col min="38" max="38" width="7.140625" style="91" customWidth="1"/>
    <col min="39" max="39" width="2.85546875" style="91" customWidth="1"/>
    <col min="40" max="40" width="11.42578125" style="91" customWidth="1"/>
    <col min="41" max="41" width="6.42578125" style="91" customWidth="1"/>
    <col min="42" max="42" width="3.5703125" style="91" customWidth="1"/>
    <col min="43" max="43" width="13.42578125" style="91" hidden="1" customWidth="1"/>
    <col min="44" max="44" width="11.7109375" style="91" customWidth="1"/>
    <col min="45" max="47" width="22.140625" style="91" hidden="1" customWidth="1"/>
    <col min="48" max="49" width="18.5703125" style="91" hidden="1" customWidth="1"/>
    <col min="50" max="51" width="21.42578125" style="91" hidden="1" customWidth="1"/>
    <col min="52" max="52" width="18.5703125" style="91" hidden="1" customWidth="1"/>
    <col min="53" max="53" width="16.42578125" style="91" hidden="1" customWidth="1"/>
    <col min="54" max="54" width="21.42578125" style="91" hidden="1" customWidth="1"/>
    <col min="55" max="55" width="18.5703125" style="91" hidden="1" customWidth="1"/>
    <col min="56" max="56" width="16.42578125" style="91" hidden="1" customWidth="1"/>
    <col min="57" max="57" width="57" style="91" customWidth="1"/>
    <col min="58" max="16384" width="9.140625" style="91"/>
  </cols>
  <sheetData>
    <row r="1" spans="1:74">
      <c r="A1" s="90" t="s">
        <v>685</v>
      </c>
      <c r="AZ1" s="90" t="s">
        <v>25</v>
      </c>
      <c r="BA1" s="90" t="s">
        <v>686</v>
      </c>
      <c r="BB1" s="90" t="s">
        <v>687</v>
      </c>
      <c r="BT1" s="90" t="s">
        <v>688</v>
      </c>
      <c r="BU1" s="90" t="s">
        <v>688</v>
      </c>
      <c r="BV1" s="90" t="s">
        <v>689</v>
      </c>
    </row>
    <row r="2" spans="1:74" ht="36.950000000000003" customHeight="1">
      <c r="AR2" s="324"/>
      <c r="AS2" s="324"/>
      <c r="AT2" s="324"/>
      <c r="AU2" s="324"/>
      <c r="AV2" s="324"/>
      <c r="AW2" s="324"/>
      <c r="AX2" s="324"/>
      <c r="AY2" s="324"/>
      <c r="AZ2" s="324"/>
      <c r="BA2" s="324"/>
      <c r="BB2" s="324"/>
      <c r="BC2" s="324"/>
      <c r="BD2" s="324"/>
      <c r="BE2" s="324"/>
      <c r="BS2" s="92" t="s">
        <v>690</v>
      </c>
      <c r="BT2" s="92" t="s">
        <v>691</v>
      </c>
    </row>
    <row r="3" spans="1:74" ht="6.95" customHeight="1">
      <c r="B3" s="93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4"/>
      <c r="AR3" s="95"/>
      <c r="BS3" s="92" t="s">
        <v>690</v>
      </c>
      <c r="BT3" s="92" t="s">
        <v>692</v>
      </c>
    </row>
    <row r="4" spans="1:74" ht="24.95" customHeight="1">
      <c r="B4" s="95"/>
      <c r="D4" s="96" t="s">
        <v>693</v>
      </c>
      <c r="AR4" s="95"/>
      <c r="AS4" s="97" t="s">
        <v>694</v>
      </c>
      <c r="BE4" s="98" t="s">
        <v>695</v>
      </c>
      <c r="BS4" s="92" t="s">
        <v>696</v>
      </c>
    </row>
    <row r="5" spans="1:74" ht="12" customHeight="1">
      <c r="B5" s="95"/>
      <c r="D5" s="99" t="s">
        <v>697</v>
      </c>
      <c r="K5" s="325" t="s">
        <v>698</v>
      </c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R5" s="95"/>
      <c r="BE5" s="326" t="s">
        <v>699</v>
      </c>
      <c r="BS5" s="92" t="s">
        <v>690</v>
      </c>
    </row>
    <row r="6" spans="1:74" ht="36.950000000000003" customHeight="1">
      <c r="B6" s="95"/>
      <c r="D6" s="100" t="s">
        <v>700</v>
      </c>
      <c r="K6" s="329" t="s">
        <v>701</v>
      </c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4"/>
      <c r="AR6" s="95"/>
      <c r="BE6" s="327"/>
      <c r="BS6" s="92" t="s">
        <v>690</v>
      </c>
    </row>
    <row r="7" spans="1:74" ht="12" customHeight="1">
      <c r="B7" s="95"/>
      <c r="D7" s="101" t="s">
        <v>702</v>
      </c>
      <c r="K7" s="102" t="s">
        <v>25</v>
      </c>
      <c r="AK7" s="101" t="s">
        <v>703</v>
      </c>
      <c r="AN7" s="102" t="s">
        <v>25</v>
      </c>
      <c r="AR7" s="95"/>
      <c r="BE7" s="327"/>
      <c r="BS7" s="92" t="s">
        <v>690</v>
      </c>
    </row>
    <row r="8" spans="1:74" ht="12" customHeight="1">
      <c r="B8" s="95"/>
      <c r="D8" s="101" t="s">
        <v>704</v>
      </c>
      <c r="K8" s="102" t="s">
        <v>705</v>
      </c>
      <c r="AK8" s="101" t="s">
        <v>706</v>
      </c>
      <c r="AN8" s="103" t="s">
        <v>707</v>
      </c>
      <c r="AR8" s="95"/>
      <c r="BE8" s="327"/>
      <c r="BS8" s="92" t="s">
        <v>690</v>
      </c>
    </row>
    <row r="9" spans="1:74" ht="14.45" customHeight="1">
      <c r="B9" s="95"/>
      <c r="AR9" s="95"/>
      <c r="BE9" s="327"/>
      <c r="BS9" s="92" t="s">
        <v>690</v>
      </c>
    </row>
    <row r="10" spans="1:74" ht="12" customHeight="1">
      <c r="B10" s="95"/>
      <c r="D10" s="101" t="s">
        <v>708</v>
      </c>
      <c r="AK10" s="101" t="s">
        <v>709</v>
      </c>
      <c r="AN10" s="102" t="s">
        <v>710</v>
      </c>
      <c r="AR10" s="95"/>
      <c r="BE10" s="327"/>
      <c r="BS10" s="92" t="s">
        <v>690</v>
      </c>
    </row>
    <row r="11" spans="1:74" ht="18.399999999999999" customHeight="1">
      <c r="B11" s="95"/>
      <c r="E11" s="102" t="s">
        <v>711</v>
      </c>
      <c r="AK11" s="101" t="s">
        <v>712</v>
      </c>
      <c r="AN11" s="102" t="s">
        <v>713</v>
      </c>
      <c r="AR11" s="95"/>
      <c r="BE11" s="327"/>
      <c r="BS11" s="92" t="s">
        <v>690</v>
      </c>
    </row>
    <row r="12" spans="1:74" ht="6.95" customHeight="1">
      <c r="B12" s="95"/>
      <c r="AR12" s="95"/>
      <c r="BE12" s="327"/>
      <c r="BS12" s="92" t="s">
        <v>690</v>
      </c>
    </row>
    <row r="13" spans="1:74" ht="12" customHeight="1">
      <c r="B13" s="95"/>
      <c r="D13" s="101" t="s">
        <v>714</v>
      </c>
      <c r="AK13" s="101" t="s">
        <v>709</v>
      </c>
      <c r="AN13" s="104" t="s">
        <v>715</v>
      </c>
      <c r="AR13" s="95"/>
      <c r="BE13" s="327"/>
      <c r="BS13" s="92" t="s">
        <v>690</v>
      </c>
    </row>
    <row r="14" spans="1:74" ht="12.75">
      <c r="B14" s="95"/>
      <c r="E14" s="330" t="s">
        <v>715</v>
      </c>
      <c r="F14" s="331"/>
      <c r="G14" s="331"/>
      <c r="H14" s="331"/>
      <c r="I14" s="331"/>
      <c r="J14" s="331"/>
      <c r="K14" s="331"/>
      <c r="L14" s="331"/>
      <c r="M14" s="331"/>
      <c r="N14" s="331"/>
      <c r="O14" s="331"/>
      <c r="P14" s="331"/>
      <c r="Q14" s="331"/>
      <c r="R14" s="331"/>
      <c r="S14" s="331"/>
      <c r="T14" s="331"/>
      <c r="U14" s="331"/>
      <c r="V14" s="331"/>
      <c r="W14" s="331"/>
      <c r="X14" s="331"/>
      <c r="Y14" s="331"/>
      <c r="Z14" s="331"/>
      <c r="AA14" s="331"/>
      <c r="AB14" s="331"/>
      <c r="AC14" s="331"/>
      <c r="AD14" s="331"/>
      <c r="AE14" s="331"/>
      <c r="AF14" s="331"/>
      <c r="AG14" s="331"/>
      <c r="AH14" s="331"/>
      <c r="AI14" s="331"/>
      <c r="AJ14" s="331"/>
      <c r="AK14" s="101" t="s">
        <v>712</v>
      </c>
      <c r="AN14" s="104" t="s">
        <v>715</v>
      </c>
      <c r="AR14" s="95"/>
      <c r="BE14" s="327"/>
      <c r="BS14" s="92" t="s">
        <v>690</v>
      </c>
    </row>
    <row r="15" spans="1:74" ht="6.95" customHeight="1">
      <c r="B15" s="95"/>
      <c r="AR15" s="95"/>
      <c r="BE15" s="327"/>
      <c r="BS15" s="92" t="s">
        <v>688</v>
      </c>
    </row>
    <row r="16" spans="1:74" ht="12" customHeight="1">
      <c r="B16" s="95"/>
      <c r="D16" s="101" t="s">
        <v>716</v>
      </c>
      <c r="AK16" s="101" t="s">
        <v>709</v>
      </c>
      <c r="AN16" s="102" t="s">
        <v>717</v>
      </c>
      <c r="AR16" s="95"/>
      <c r="BE16" s="327"/>
      <c r="BS16" s="92" t="s">
        <v>688</v>
      </c>
    </row>
    <row r="17" spans="2:71" ht="18.399999999999999" customHeight="1">
      <c r="B17" s="95"/>
      <c r="E17" s="102" t="s">
        <v>718</v>
      </c>
      <c r="AK17" s="101" t="s">
        <v>712</v>
      </c>
      <c r="AN17" s="102" t="s">
        <v>719</v>
      </c>
      <c r="AR17" s="95"/>
      <c r="BE17" s="327"/>
      <c r="BS17" s="92" t="s">
        <v>720</v>
      </c>
    </row>
    <row r="18" spans="2:71" ht="6.95" customHeight="1">
      <c r="B18" s="95"/>
      <c r="AR18" s="95"/>
      <c r="BE18" s="327"/>
      <c r="BS18" s="92" t="s">
        <v>690</v>
      </c>
    </row>
    <row r="19" spans="2:71" ht="12" customHeight="1">
      <c r="B19" s="95"/>
      <c r="D19" s="101" t="s">
        <v>721</v>
      </c>
      <c r="AK19" s="101" t="s">
        <v>709</v>
      </c>
      <c r="AN19" s="102" t="s">
        <v>717</v>
      </c>
      <c r="AR19" s="95"/>
      <c r="BE19" s="327"/>
      <c r="BS19" s="92" t="s">
        <v>690</v>
      </c>
    </row>
    <row r="20" spans="2:71" ht="18.399999999999999" customHeight="1">
      <c r="B20" s="95"/>
      <c r="E20" s="102" t="s">
        <v>718</v>
      </c>
      <c r="AK20" s="101" t="s">
        <v>712</v>
      </c>
      <c r="AN20" s="102" t="s">
        <v>719</v>
      </c>
      <c r="AR20" s="95"/>
      <c r="BE20" s="327"/>
      <c r="BS20" s="92" t="s">
        <v>720</v>
      </c>
    </row>
    <row r="21" spans="2:71" ht="6.95" customHeight="1">
      <c r="B21" s="95"/>
      <c r="AR21" s="95"/>
      <c r="BE21" s="327"/>
    </row>
    <row r="22" spans="2:71" ht="12" customHeight="1">
      <c r="B22" s="95"/>
      <c r="D22" s="101" t="s">
        <v>722</v>
      </c>
      <c r="AR22" s="95"/>
      <c r="BE22" s="327"/>
    </row>
    <row r="23" spans="2:71" ht="16.5" customHeight="1">
      <c r="B23" s="95"/>
      <c r="E23" s="332" t="s">
        <v>25</v>
      </c>
      <c r="F23" s="332"/>
      <c r="G23" s="332"/>
      <c r="H23" s="332"/>
      <c r="I23" s="332"/>
      <c r="J23" s="332"/>
      <c r="K23" s="332"/>
      <c r="L23" s="332"/>
      <c r="M23" s="332"/>
      <c r="N23" s="332"/>
      <c r="O23" s="332"/>
      <c r="P23" s="332"/>
      <c r="Q23" s="332"/>
      <c r="R23" s="332"/>
      <c r="S23" s="332"/>
      <c r="T23" s="332"/>
      <c r="U23" s="332"/>
      <c r="V23" s="332"/>
      <c r="W23" s="332"/>
      <c r="X23" s="332"/>
      <c r="Y23" s="332"/>
      <c r="Z23" s="332"/>
      <c r="AA23" s="332"/>
      <c r="AB23" s="332"/>
      <c r="AC23" s="332"/>
      <c r="AD23" s="332"/>
      <c r="AE23" s="332"/>
      <c r="AF23" s="332"/>
      <c r="AG23" s="332"/>
      <c r="AH23" s="332"/>
      <c r="AI23" s="332"/>
      <c r="AJ23" s="332"/>
      <c r="AK23" s="332"/>
      <c r="AL23" s="332"/>
      <c r="AM23" s="332"/>
      <c r="AN23" s="332"/>
      <c r="AR23" s="95"/>
      <c r="BE23" s="327"/>
    </row>
    <row r="24" spans="2:71" ht="6.95" customHeight="1">
      <c r="B24" s="95"/>
      <c r="AR24" s="95"/>
      <c r="BE24" s="327"/>
    </row>
    <row r="25" spans="2:71" ht="6.95" customHeight="1">
      <c r="B25" s="9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  <c r="AF25" s="105"/>
      <c r="AG25" s="105"/>
      <c r="AH25" s="105"/>
      <c r="AI25" s="105"/>
      <c r="AJ25" s="105"/>
      <c r="AK25" s="105"/>
      <c r="AL25" s="105"/>
      <c r="AM25" s="105"/>
      <c r="AN25" s="105"/>
      <c r="AO25" s="105"/>
      <c r="AR25" s="95"/>
      <c r="BE25" s="327"/>
    </row>
    <row r="26" spans="2:71" s="106" customFormat="1" ht="25.9" customHeight="1">
      <c r="B26" s="107"/>
      <c r="D26" s="108" t="s">
        <v>723</v>
      </c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333">
        <f>ROUND(AG94,2)</f>
        <v>0</v>
      </c>
      <c r="AL26" s="334"/>
      <c r="AM26" s="334"/>
      <c r="AN26" s="334"/>
      <c r="AO26" s="334"/>
      <c r="AR26" s="107"/>
      <c r="BE26" s="327"/>
    </row>
    <row r="27" spans="2:71" s="106" customFormat="1" ht="6.95" customHeight="1">
      <c r="B27" s="107"/>
      <c r="AR27" s="107"/>
      <c r="BE27" s="327"/>
    </row>
    <row r="28" spans="2:71" s="106" customFormat="1" ht="12.75">
      <c r="B28" s="107"/>
      <c r="L28" s="335" t="s">
        <v>724</v>
      </c>
      <c r="M28" s="335"/>
      <c r="N28" s="335"/>
      <c r="O28" s="335"/>
      <c r="P28" s="335"/>
      <c r="W28" s="335" t="s">
        <v>725</v>
      </c>
      <c r="X28" s="335"/>
      <c r="Y28" s="335"/>
      <c r="Z28" s="335"/>
      <c r="AA28" s="335"/>
      <c r="AB28" s="335"/>
      <c r="AC28" s="335"/>
      <c r="AD28" s="335"/>
      <c r="AE28" s="335"/>
      <c r="AK28" s="335" t="s">
        <v>726</v>
      </c>
      <c r="AL28" s="335"/>
      <c r="AM28" s="335"/>
      <c r="AN28" s="335"/>
      <c r="AO28" s="335"/>
      <c r="AR28" s="107"/>
      <c r="BE28" s="327"/>
    </row>
    <row r="29" spans="2:71" s="110" customFormat="1" ht="14.45" customHeight="1">
      <c r="B29" s="111"/>
      <c r="D29" s="101" t="s">
        <v>727</v>
      </c>
      <c r="F29" s="101" t="s">
        <v>728</v>
      </c>
      <c r="L29" s="317">
        <v>0.21</v>
      </c>
      <c r="M29" s="318"/>
      <c r="N29" s="318"/>
      <c r="O29" s="318"/>
      <c r="P29" s="318"/>
      <c r="W29" s="319">
        <f>ROUND(AZ94, 2)</f>
        <v>0</v>
      </c>
      <c r="X29" s="318"/>
      <c r="Y29" s="318"/>
      <c r="Z29" s="318"/>
      <c r="AA29" s="318"/>
      <c r="AB29" s="318"/>
      <c r="AC29" s="318"/>
      <c r="AD29" s="318"/>
      <c r="AE29" s="318"/>
      <c r="AK29" s="319">
        <f>ROUND(AV94, 2)</f>
        <v>0</v>
      </c>
      <c r="AL29" s="318"/>
      <c r="AM29" s="318"/>
      <c r="AN29" s="318"/>
      <c r="AO29" s="318"/>
      <c r="AR29" s="111"/>
      <c r="BE29" s="328"/>
    </row>
    <row r="30" spans="2:71" s="110" customFormat="1" ht="14.45" customHeight="1">
      <c r="B30" s="111"/>
      <c r="F30" s="101" t="s">
        <v>729</v>
      </c>
      <c r="L30" s="317">
        <v>0.15</v>
      </c>
      <c r="M30" s="318"/>
      <c r="N30" s="318"/>
      <c r="O30" s="318"/>
      <c r="P30" s="318"/>
      <c r="W30" s="319">
        <f>ROUND(BA94, 2)</f>
        <v>0</v>
      </c>
      <c r="X30" s="318"/>
      <c r="Y30" s="318"/>
      <c r="Z30" s="318"/>
      <c r="AA30" s="318"/>
      <c r="AB30" s="318"/>
      <c r="AC30" s="318"/>
      <c r="AD30" s="318"/>
      <c r="AE30" s="318"/>
      <c r="AK30" s="319">
        <f>ROUND(AW94, 2)</f>
        <v>0</v>
      </c>
      <c r="AL30" s="318"/>
      <c r="AM30" s="318"/>
      <c r="AN30" s="318"/>
      <c r="AO30" s="318"/>
      <c r="AR30" s="111"/>
      <c r="BE30" s="328"/>
    </row>
    <row r="31" spans="2:71" s="110" customFormat="1" ht="14.45" hidden="1" customHeight="1">
      <c r="B31" s="111"/>
      <c r="F31" s="101" t="s">
        <v>730</v>
      </c>
      <c r="L31" s="317">
        <v>0.21</v>
      </c>
      <c r="M31" s="318"/>
      <c r="N31" s="318"/>
      <c r="O31" s="318"/>
      <c r="P31" s="318"/>
      <c r="W31" s="319">
        <f>ROUND(BB94, 2)</f>
        <v>0</v>
      </c>
      <c r="X31" s="318"/>
      <c r="Y31" s="318"/>
      <c r="Z31" s="318"/>
      <c r="AA31" s="318"/>
      <c r="AB31" s="318"/>
      <c r="AC31" s="318"/>
      <c r="AD31" s="318"/>
      <c r="AE31" s="318"/>
      <c r="AK31" s="319">
        <v>0</v>
      </c>
      <c r="AL31" s="318"/>
      <c r="AM31" s="318"/>
      <c r="AN31" s="318"/>
      <c r="AO31" s="318"/>
      <c r="AR31" s="111"/>
      <c r="BE31" s="328"/>
    </row>
    <row r="32" spans="2:71" s="110" customFormat="1" ht="14.45" hidden="1" customHeight="1">
      <c r="B32" s="111"/>
      <c r="F32" s="101" t="s">
        <v>731</v>
      </c>
      <c r="L32" s="317">
        <v>0.15</v>
      </c>
      <c r="M32" s="318"/>
      <c r="N32" s="318"/>
      <c r="O32" s="318"/>
      <c r="P32" s="318"/>
      <c r="W32" s="319">
        <f>ROUND(BC94, 2)</f>
        <v>0</v>
      </c>
      <c r="X32" s="318"/>
      <c r="Y32" s="318"/>
      <c r="Z32" s="318"/>
      <c r="AA32" s="318"/>
      <c r="AB32" s="318"/>
      <c r="AC32" s="318"/>
      <c r="AD32" s="318"/>
      <c r="AE32" s="318"/>
      <c r="AK32" s="319">
        <v>0</v>
      </c>
      <c r="AL32" s="318"/>
      <c r="AM32" s="318"/>
      <c r="AN32" s="318"/>
      <c r="AO32" s="318"/>
      <c r="AR32" s="111"/>
      <c r="BE32" s="328"/>
    </row>
    <row r="33" spans="2:57" s="110" customFormat="1" ht="14.45" hidden="1" customHeight="1">
      <c r="B33" s="111"/>
      <c r="F33" s="101" t="s">
        <v>732</v>
      </c>
      <c r="L33" s="317">
        <v>0</v>
      </c>
      <c r="M33" s="318"/>
      <c r="N33" s="318"/>
      <c r="O33" s="318"/>
      <c r="P33" s="318"/>
      <c r="W33" s="319">
        <f>ROUND(BD94, 2)</f>
        <v>0</v>
      </c>
      <c r="X33" s="318"/>
      <c r="Y33" s="318"/>
      <c r="Z33" s="318"/>
      <c r="AA33" s="318"/>
      <c r="AB33" s="318"/>
      <c r="AC33" s="318"/>
      <c r="AD33" s="318"/>
      <c r="AE33" s="318"/>
      <c r="AK33" s="319">
        <v>0</v>
      </c>
      <c r="AL33" s="318"/>
      <c r="AM33" s="318"/>
      <c r="AN33" s="318"/>
      <c r="AO33" s="318"/>
      <c r="AR33" s="111"/>
      <c r="BE33" s="328"/>
    </row>
    <row r="34" spans="2:57" s="106" customFormat="1" ht="6.95" customHeight="1">
      <c r="B34" s="107"/>
      <c r="AR34" s="107"/>
      <c r="BE34" s="327"/>
    </row>
    <row r="35" spans="2:57" s="106" customFormat="1" ht="25.9" customHeight="1">
      <c r="B35" s="107"/>
      <c r="C35" s="112"/>
      <c r="D35" s="113" t="s">
        <v>733</v>
      </c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5" t="s">
        <v>734</v>
      </c>
      <c r="U35" s="114"/>
      <c r="V35" s="114"/>
      <c r="W35" s="114"/>
      <c r="X35" s="320" t="s">
        <v>735</v>
      </c>
      <c r="Y35" s="321"/>
      <c r="Z35" s="321"/>
      <c r="AA35" s="321"/>
      <c r="AB35" s="321"/>
      <c r="AC35" s="114"/>
      <c r="AD35" s="114"/>
      <c r="AE35" s="114"/>
      <c r="AF35" s="114"/>
      <c r="AG35" s="114"/>
      <c r="AH35" s="114"/>
      <c r="AI35" s="114"/>
      <c r="AJ35" s="114"/>
      <c r="AK35" s="322">
        <f>SUM(AK26:AK33)</f>
        <v>0</v>
      </c>
      <c r="AL35" s="321"/>
      <c r="AM35" s="321"/>
      <c r="AN35" s="321"/>
      <c r="AO35" s="323"/>
      <c r="AP35" s="112"/>
      <c r="AQ35" s="112"/>
      <c r="AR35" s="107"/>
    </row>
    <row r="36" spans="2:57" s="106" customFormat="1" ht="6.95" customHeight="1">
      <c r="B36" s="107"/>
      <c r="AR36" s="107"/>
    </row>
    <row r="37" spans="2:57" s="106" customFormat="1" ht="14.45" customHeight="1">
      <c r="B37" s="107"/>
      <c r="AR37" s="107"/>
    </row>
    <row r="38" spans="2:57" ht="14.45" customHeight="1">
      <c r="B38" s="95"/>
      <c r="AR38" s="95"/>
    </row>
    <row r="39" spans="2:57" ht="14.45" customHeight="1">
      <c r="B39" s="95"/>
      <c r="AR39" s="95"/>
    </row>
    <row r="40" spans="2:57" ht="14.45" customHeight="1">
      <c r="B40" s="95"/>
      <c r="AR40" s="95"/>
    </row>
    <row r="41" spans="2:57" ht="14.45" customHeight="1">
      <c r="B41" s="95"/>
      <c r="AR41" s="95"/>
    </row>
    <row r="42" spans="2:57" ht="14.45" customHeight="1">
      <c r="B42" s="95"/>
      <c r="AR42" s="95"/>
    </row>
    <row r="43" spans="2:57" ht="14.45" customHeight="1">
      <c r="B43" s="95"/>
      <c r="AR43" s="95"/>
    </row>
    <row r="44" spans="2:57" ht="14.45" customHeight="1">
      <c r="B44" s="95"/>
      <c r="AR44" s="95"/>
    </row>
    <row r="45" spans="2:57" ht="14.45" customHeight="1">
      <c r="B45" s="95"/>
      <c r="AR45" s="95"/>
    </row>
    <row r="46" spans="2:57" ht="14.45" customHeight="1">
      <c r="B46" s="95"/>
      <c r="AR46" s="95"/>
    </row>
    <row r="47" spans="2:57" ht="14.45" customHeight="1">
      <c r="B47" s="95"/>
      <c r="AR47" s="95"/>
    </row>
    <row r="48" spans="2:57" ht="14.45" customHeight="1">
      <c r="B48" s="95"/>
      <c r="AR48" s="95"/>
    </row>
    <row r="49" spans="2:44" s="106" customFormat="1" ht="14.45" customHeight="1">
      <c r="B49" s="107"/>
      <c r="D49" s="116" t="s">
        <v>736</v>
      </c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6" t="s">
        <v>737</v>
      </c>
      <c r="AI49" s="117"/>
      <c r="AJ49" s="117"/>
      <c r="AK49" s="117"/>
      <c r="AL49" s="117"/>
      <c r="AM49" s="117"/>
      <c r="AN49" s="117"/>
      <c r="AO49" s="117"/>
      <c r="AR49" s="107"/>
    </row>
    <row r="50" spans="2:44">
      <c r="B50" s="95"/>
      <c r="AR50" s="95"/>
    </row>
    <row r="51" spans="2:44">
      <c r="B51" s="95"/>
      <c r="AR51" s="95"/>
    </row>
    <row r="52" spans="2:44">
      <c r="B52" s="95"/>
      <c r="AR52" s="95"/>
    </row>
    <row r="53" spans="2:44">
      <c r="B53" s="95"/>
      <c r="AR53" s="95"/>
    </row>
    <row r="54" spans="2:44">
      <c r="B54" s="95"/>
      <c r="AR54" s="95"/>
    </row>
    <row r="55" spans="2:44">
      <c r="B55" s="95"/>
      <c r="AR55" s="95"/>
    </row>
    <row r="56" spans="2:44">
      <c r="B56" s="95"/>
      <c r="AR56" s="95"/>
    </row>
    <row r="57" spans="2:44">
      <c r="B57" s="95"/>
      <c r="AR57" s="95"/>
    </row>
    <row r="58" spans="2:44">
      <c r="B58" s="95"/>
      <c r="AR58" s="95"/>
    </row>
    <row r="59" spans="2:44">
      <c r="B59" s="95"/>
      <c r="AR59" s="95"/>
    </row>
    <row r="60" spans="2:44" s="106" customFormat="1" ht="12.75">
      <c r="B60" s="107"/>
      <c r="D60" s="118" t="s">
        <v>738</v>
      </c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18" t="s">
        <v>739</v>
      </c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18" t="s">
        <v>738</v>
      </c>
      <c r="AI60" s="109"/>
      <c r="AJ60" s="109"/>
      <c r="AK60" s="109"/>
      <c r="AL60" s="109"/>
      <c r="AM60" s="118" t="s">
        <v>739</v>
      </c>
      <c r="AN60" s="109"/>
      <c r="AO60" s="109"/>
      <c r="AR60" s="107"/>
    </row>
    <row r="61" spans="2:44">
      <c r="B61" s="95"/>
      <c r="AR61" s="95"/>
    </row>
    <row r="62" spans="2:44">
      <c r="B62" s="95"/>
      <c r="AR62" s="95"/>
    </row>
    <row r="63" spans="2:44">
      <c r="B63" s="95"/>
      <c r="AR63" s="95"/>
    </row>
    <row r="64" spans="2:44" s="106" customFormat="1" ht="12.75">
      <c r="B64" s="107"/>
      <c r="D64" s="116" t="s">
        <v>740</v>
      </c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7"/>
      <c r="AH64" s="116" t="s">
        <v>741</v>
      </c>
      <c r="AI64" s="117"/>
      <c r="AJ64" s="117"/>
      <c r="AK64" s="117"/>
      <c r="AL64" s="117"/>
      <c r="AM64" s="117"/>
      <c r="AN64" s="117"/>
      <c r="AO64" s="117"/>
      <c r="AR64" s="107"/>
    </row>
    <row r="65" spans="2:44">
      <c r="B65" s="95"/>
      <c r="AR65" s="95"/>
    </row>
    <row r="66" spans="2:44">
      <c r="B66" s="95"/>
      <c r="AR66" s="95"/>
    </row>
    <row r="67" spans="2:44">
      <c r="B67" s="95"/>
      <c r="AR67" s="95"/>
    </row>
    <row r="68" spans="2:44">
      <c r="B68" s="95"/>
      <c r="AR68" s="95"/>
    </row>
    <row r="69" spans="2:44">
      <c r="B69" s="95"/>
      <c r="AR69" s="95"/>
    </row>
    <row r="70" spans="2:44">
      <c r="B70" s="95"/>
      <c r="AR70" s="95"/>
    </row>
    <row r="71" spans="2:44">
      <c r="B71" s="95"/>
      <c r="AR71" s="95"/>
    </row>
    <row r="72" spans="2:44">
      <c r="B72" s="95"/>
      <c r="AR72" s="95"/>
    </row>
    <row r="73" spans="2:44">
      <c r="B73" s="95"/>
      <c r="AR73" s="95"/>
    </row>
    <row r="74" spans="2:44">
      <c r="B74" s="95"/>
      <c r="AR74" s="95"/>
    </row>
    <row r="75" spans="2:44" s="106" customFormat="1" ht="12.75">
      <c r="B75" s="107"/>
      <c r="D75" s="118" t="s">
        <v>738</v>
      </c>
      <c r="E75" s="109"/>
      <c r="F75" s="109"/>
      <c r="G75" s="109"/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18" t="s">
        <v>739</v>
      </c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  <c r="AG75" s="109"/>
      <c r="AH75" s="118" t="s">
        <v>738</v>
      </c>
      <c r="AI75" s="109"/>
      <c r="AJ75" s="109"/>
      <c r="AK75" s="109"/>
      <c r="AL75" s="109"/>
      <c r="AM75" s="118" t="s">
        <v>739</v>
      </c>
      <c r="AN75" s="109"/>
      <c r="AO75" s="109"/>
      <c r="AR75" s="107"/>
    </row>
    <row r="76" spans="2:44" s="106" customFormat="1">
      <c r="B76" s="107"/>
      <c r="AR76" s="107"/>
    </row>
    <row r="77" spans="2:44" s="106" customFormat="1" ht="6.95" customHeight="1">
      <c r="B77" s="119"/>
      <c r="C77" s="120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0"/>
      <c r="AG77" s="120"/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07"/>
    </row>
    <row r="81" spans="1:91" s="106" customFormat="1" ht="6.95" customHeight="1">
      <c r="B81" s="121"/>
      <c r="C81" s="122"/>
      <c r="D81" s="122"/>
      <c r="E81" s="122"/>
      <c r="F81" s="122"/>
      <c r="G81" s="122"/>
      <c r="H81" s="122"/>
      <c r="I81" s="122"/>
      <c r="J81" s="122"/>
      <c r="K81" s="122"/>
      <c r="L81" s="122"/>
      <c r="M81" s="122"/>
      <c r="N81" s="122"/>
      <c r="O81" s="122"/>
      <c r="P81" s="122"/>
      <c r="Q81" s="122"/>
      <c r="R81" s="122"/>
      <c r="S81" s="122"/>
      <c r="T81" s="122"/>
      <c r="U81" s="122"/>
      <c r="V81" s="122"/>
      <c r="W81" s="122"/>
      <c r="X81" s="122"/>
      <c r="Y81" s="122"/>
      <c r="Z81" s="122"/>
      <c r="AA81" s="122"/>
      <c r="AB81" s="122"/>
      <c r="AC81" s="122"/>
      <c r="AD81" s="122"/>
      <c r="AE81" s="122"/>
      <c r="AF81" s="122"/>
      <c r="AG81" s="122"/>
      <c r="AH81" s="122"/>
      <c r="AI81" s="122"/>
      <c r="AJ81" s="122"/>
      <c r="AK81" s="122"/>
      <c r="AL81" s="122"/>
      <c r="AM81" s="122"/>
      <c r="AN81" s="122"/>
      <c r="AO81" s="122"/>
      <c r="AP81" s="122"/>
      <c r="AQ81" s="122"/>
      <c r="AR81" s="107"/>
    </row>
    <row r="82" spans="1:91" s="106" customFormat="1" ht="24.95" customHeight="1">
      <c r="B82" s="107"/>
      <c r="C82" s="96" t="s">
        <v>742</v>
      </c>
      <c r="AR82" s="107"/>
    </row>
    <row r="83" spans="1:91" s="106" customFormat="1" ht="6.95" customHeight="1">
      <c r="B83" s="107"/>
      <c r="AR83" s="107"/>
    </row>
    <row r="84" spans="1:91" s="123" customFormat="1" ht="12" customHeight="1">
      <c r="B84" s="124"/>
      <c r="C84" s="101" t="s">
        <v>697</v>
      </c>
      <c r="L84" s="123" t="str">
        <f>K5</f>
        <v>2019-020</v>
      </c>
      <c r="AR84" s="124"/>
    </row>
    <row r="85" spans="1:91" s="125" customFormat="1" ht="36.950000000000003" customHeight="1">
      <c r="B85" s="126"/>
      <c r="C85" s="127" t="s">
        <v>700</v>
      </c>
      <c r="L85" s="315" t="str">
        <f>K6</f>
        <v>Lávka přes Labe v Nymburce - terénní a vegetační úpravy</v>
      </c>
      <c r="M85" s="316"/>
      <c r="N85" s="316"/>
      <c r="O85" s="316"/>
      <c r="P85" s="316"/>
      <c r="Q85" s="316"/>
      <c r="R85" s="316"/>
      <c r="S85" s="316"/>
      <c r="T85" s="316"/>
      <c r="U85" s="316"/>
      <c r="V85" s="316"/>
      <c r="W85" s="316"/>
      <c r="X85" s="316"/>
      <c r="Y85" s="316"/>
      <c r="Z85" s="316"/>
      <c r="AA85" s="316"/>
      <c r="AB85" s="316"/>
      <c r="AC85" s="316"/>
      <c r="AD85" s="316"/>
      <c r="AE85" s="316"/>
      <c r="AF85" s="316"/>
      <c r="AG85" s="316"/>
      <c r="AH85" s="316"/>
      <c r="AI85" s="316"/>
      <c r="AJ85" s="316"/>
      <c r="AK85" s="316"/>
      <c r="AL85" s="316"/>
      <c r="AM85" s="316"/>
      <c r="AN85" s="316"/>
      <c r="AO85" s="316"/>
      <c r="AR85" s="126"/>
    </row>
    <row r="86" spans="1:91" s="106" customFormat="1" ht="6.95" customHeight="1">
      <c r="B86" s="107"/>
      <c r="AR86" s="107"/>
    </row>
    <row r="87" spans="1:91" s="106" customFormat="1" ht="12" customHeight="1">
      <c r="B87" s="107"/>
      <c r="C87" s="101" t="s">
        <v>704</v>
      </c>
      <c r="L87" s="128" t="str">
        <f>IF(K8="","",K8)</f>
        <v xml:space="preserve">Lávka </v>
      </c>
      <c r="AI87" s="101" t="s">
        <v>706</v>
      </c>
      <c r="AM87" s="303" t="str">
        <f>IF(AN8= "","",AN8)</f>
        <v>21. 11. 2019</v>
      </c>
      <c r="AN87" s="303"/>
      <c r="AR87" s="107"/>
    </row>
    <row r="88" spans="1:91" s="106" customFormat="1" ht="6.95" customHeight="1">
      <c r="B88" s="107"/>
      <c r="AR88" s="107"/>
    </row>
    <row r="89" spans="1:91" s="106" customFormat="1" ht="25.7" customHeight="1">
      <c r="B89" s="107"/>
      <c r="C89" s="101" t="s">
        <v>708</v>
      </c>
      <c r="L89" s="123" t="str">
        <f>IF(E11= "","",E11)</f>
        <v>Město Nymburk</v>
      </c>
      <c r="AI89" s="101" t="s">
        <v>716</v>
      </c>
      <c r="AM89" s="304" t="str">
        <f>IF(E17="","",E17)</f>
        <v>Ing. Gabriela Mlatečková Čížková</v>
      </c>
      <c r="AN89" s="305"/>
      <c r="AO89" s="305"/>
      <c r="AP89" s="305"/>
      <c r="AR89" s="107"/>
      <c r="AS89" s="306" t="s">
        <v>743</v>
      </c>
      <c r="AT89" s="307"/>
      <c r="AU89" s="129"/>
      <c r="AV89" s="129"/>
      <c r="AW89" s="129"/>
      <c r="AX89" s="129"/>
      <c r="AY89" s="129"/>
      <c r="AZ89" s="129"/>
      <c r="BA89" s="129"/>
      <c r="BB89" s="129"/>
      <c r="BC89" s="129"/>
      <c r="BD89" s="130"/>
    </row>
    <row r="90" spans="1:91" s="106" customFormat="1" ht="25.7" customHeight="1">
      <c r="B90" s="107"/>
      <c r="C90" s="101" t="s">
        <v>714</v>
      </c>
      <c r="L90" s="123" t="str">
        <f>IF(E14= "Vyplň údaj","",E14)</f>
        <v/>
      </c>
      <c r="AI90" s="101" t="s">
        <v>721</v>
      </c>
      <c r="AM90" s="304" t="str">
        <f>IF(E20="","",E20)</f>
        <v>Ing. Gabriela Mlatečková Čížková</v>
      </c>
      <c r="AN90" s="305"/>
      <c r="AO90" s="305"/>
      <c r="AP90" s="305"/>
      <c r="AR90" s="107"/>
      <c r="AS90" s="308"/>
      <c r="AT90" s="309"/>
      <c r="BD90" s="131"/>
    </row>
    <row r="91" spans="1:91" s="106" customFormat="1" ht="10.9" customHeight="1">
      <c r="B91" s="107"/>
      <c r="AR91" s="107"/>
      <c r="AS91" s="308"/>
      <c r="AT91" s="309"/>
      <c r="BD91" s="131"/>
    </row>
    <row r="92" spans="1:91" s="106" customFormat="1" ht="29.25" customHeight="1">
      <c r="B92" s="107"/>
      <c r="C92" s="310" t="s">
        <v>11</v>
      </c>
      <c r="D92" s="311"/>
      <c r="E92" s="311"/>
      <c r="F92" s="311"/>
      <c r="G92" s="311"/>
      <c r="H92" s="132"/>
      <c r="I92" s="312" t="s">
        <v>502</v>
      </c>
      <c r="J92" s="311"/>
      <c r="K92" s="311"/>
      <c r="L92" s="311"/>
      <c r="M92" s="311"/>
      <c r="N92" s="311"/>
      <c r="O92" s="311"/>
      <c r="P92" s="311"/>
      <c r="Q92" s="311"/>
      <c r="R92" s="311"/>
      <c r="S92" s="311"/>
      <c r="T92" s="311"/>
      <c r="U92" s="311"/>
      <c r="V92" s="311"/>
      <c r="W92" s="311"/>
      <c r="X92" s="311"/>
      <c r="Y92" s="311"/>
      <c r="Z92" s="311"/>
      <c r="AA92" s="311"/>
      <c r="AB92" s="311"/>
      <c r="AC92" s="311"/>
      <c r="AD92" s="311"/>
      <c r="AE92" s="311"/>
      <c r="AF92" s="311"/>
      <c r="AG92" s="313" t="s">
        <v>744</v>
      </c>
      <c r="AH92" s="311"/>
      <c r="AI92" s="311"/>
      <c r="AJ92" s="311"/>
      <c r="AK92" s="311"/>
      <c r="AL92" s="311"/>
      <c r="AM92" s="311"/>
      <c r="AN92" s="312" t="s">
        <v>745</v>
      </c>
      <c r="AO92" s="311"/>
      <c r="AP92" s="314"/>
      <c r="AQ92" s="133" t="s">
        <v>746</v>
      </c>
      <c r="AR92" s="107"/>
      <c r="AS92" s="134" t="s">
        <v>747</v>
      </c>
      <c r="AT92" s="135" t="s">
        <v>748</v>
      </c>
      <c r="AU92" s="135" t="s">
        <v>749</v>
      </c>
      <c r="AV92" s="135" t="s">
        <v>750</v>
      </c>
      <c r="AW92" s="135" t="s">
        <v>751</v>
      </c>
      <c r="AX92" s="135" t="s">
        <v>752</v>
      </c>
      <c r="AY92" s="135" t="s">
        <v>753</v>
      </c>
      <c r="AZ92" s="135" t="s">
        <v>754</v>
      </c>
      <c r="BA92" s="135" t="s">
        <v>755</v>
      </c>
      <c r="BB92" s="135" t="s">
        <v>756</v>
      </c>
      <c r="BC92" s="135" t="s">
        <v>757</v>
      </c>
      <c r="BD92" s="136" t="s">
        <v>758</v>
      </c>
    </row>
    <row r="93" spans="1:91" s="106" customFormat="1" ht="10.9" customHeight="1">
      <c r="B93" s="107"/>
      <c r="AR93" s="107"/>
      <c r="AS93" s="137"/>
      <c r="AT93" s="129"/>
      <c r="AU93" s="129"/>
      <c r="AV93" s="129"/>
      <c r="AW93" s="129"/>
      <c r="AX93" s="129"/>
      <c r="AY93" s="129"/>
      <c r="AZ93" s="129"/>
      <c r="BA93" s="129"/>
      <c r="BB93" s="129"/>
      <c r="BC93" s="129"/>
      <c r="BD93" s="130"/>
    </row>
    <row r="94" spans="1:91" s="138" customFormat="1" ht="32.450000000000003" customHeight="1">
      <c r="B94" s="139"/>
      <c r="C94" s="140" t="s">
        <v>759</v>
      </c>
      <c r="D94" s="141"/>
      <c r="E94" s="141"/>
      <c r="F94" s="141"/>
      <c r="G94" s="141"/>
      <c r="H94" s="141"/>
      <c r="I94" s="141"/>
      <c r="J94" s="141"/>
      <c r="K94" s="141"/>
      <c r="L94" s="141"/>
      <c r="M94" s="141"/>
      <c r="N94" s="141"/>
      <c r="O94" s="141"/>
      <c r="P94" s="141"/>
      <c r="Q94" s="141"/>
      <c r="R94" s="141"/>
      <c r="S94" s="141"/>
      <c r="T94" s="141"/>
      <c r="U94" s="141"/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301">
        <f>ROUND(SUM(AG95:AG98),2)</f>
        <v>0</v>
      </c>
      <c r="AH94" s="301"/>
      <c r="AI94" s="301"/>
      <c r="AJ94" s="301"/>
      <c r="AK94" s="301"/>
      <c r="AL94" s="301"/>
      <c r="AM94" s="301"/>
      <c r="AN94" s="302">
        <f>SUM(AG94,AT94)</f>
        <v>0</v>
      </c>
      <c r="AO94" s="302"/>
      <c r="AP94" s="302"/>
      <c r="AQ94" s="142" t="s">
        <v>25</v>
      </c>
      <c r="AR94" s="139"/>
      <c r="AS94" s="143">
        <f>ROUND(SUM(AS95:AS98),2)</f>
        <v>0</v>
      </c>
      <c r="AT94" s="144">
        <f>ROUND(SUM(AV94:AW94),2)</f>
        <v>0</v>
      </c>
      <c r="AU94" s="145">
        <f>ROUND(SUM(AU95:AU98),5)</f>
        <v>0</v>
      </c>
      <c r="AV94" s="144">
        <f>ROUND(AZ94*L29,2)</f>
        <v>0</v>
      </c>
      <c r="AW94" s="144">
        <f>ROUND(BA94*L30,2)</f>
        <v>0</v>
      </c>
      <c r="AX94" s="144">
        <f>ROUND(BB94*L29,2)</f>
        <v>0</v>
      </c>
      <c r="AY94" s="144">
        <f>ROUND(BC94*L30,2)</f>
        <v>0</v>
      </c>
      <c r="AZ94" s="144">
        <f>ROUND(SUM(AZ95:AZ98),2)</f>
        <v>0</v>
      </c>
      <c r="BA94" s="144">
        <f>ROUND(SUM(BA95:BA98),2)</f>
        <v>0</v>
      </c>
      <c r="BB94" s="144">
        <f>ROUND(SUM(BB95:BB98),2)</f>
        <v>0</v>
      </c>
      <c r="BC94" s="144">
        <f>ROUND(SUM(BC95:BC98),2)</f>
        <v>0</v>
      </c>
      <c r="BD94" s="146">
        <f>ROUND(SUM(BD95:BD98),2)</f>
        <v>0</v>
      </c>
      <c r="BS94" s="147" t="s">
        <v>549</v>
      </c>
      <c r="BT94" s="147" t="s">
        <v>760</v>
      </c>
      <c r="BU94" s="148" t="s">
        <v>761</v>
      </c>
      <c r="BV94" s="147" t="s">
        <v>762</v>
      </c>
      <c r="BW94" s="147" t="s">
        <v>689</v>
      </c>
      <c r="BX94" s="147" t="s">
        <v>763</v>
      </c>
      <c r="CL94" s="147" t="s">
        <v>25</v>
      </c>
    </row>
    <row r="95" spans="1:91" s="158" customFormat="1" ht="24.75" customHeight="1">
      <c r="A95" s="149" t="s">
        <v>764</v>
      </c>
      <c r="B95" s="150"/>
      <c r="C95" s="151"/>
      <c r="D95" s="298" t="s">
        <v>765</v>
      </c>
      <c r="E95" s="298"/>
      <c r="F95" s="298"/>
      <c r="G95" s="298"/>
      <c r="H95" s="298"/>
      <c r="I95" s="152"/>
      <c r="J95" s="298" t="s">
        <v>482</v>
      </c>
      <c r="K95" s="298"/>
      <c r="L95" s="298"/>
      <c r="M95" s="298"/>
      <c r="N95" s="298"/>
      <c r="O95" s="298"/>
      <c r="P95" s="298"/>
      <c r="Q95" s="298"/>
      <c r="R95" s="298"/>
      <c r="S95" s="298"/>
      <c r="T95" s="298"/>
      <c r="U95" s="298"/>
      <c r="V95" s="298"/>
      <c r="W95" s="298"/>
      <c r="X95" s="298"/>
      <c r="Y95" s="298"/>
      <c r="Z95" s="298"/>
      <c r="AA95" s="298"/>
      <c r="AB95" s="298"/>
      <c r="AC95" s="298"/>
      <c r="AD95" s="298"/>
      <c r="AE95" s="298"/>
      <c r="AF95" s="298"/>
      <c r="AG95" s="299">
        <f>'SO 801.1.1 - Hrubé terénn...'!J30</f>
        <v>0</v>
      </c>
      <c r="AH95" s="300"/>
      <c r="AI95" s="300"/>
      <c r="AJ95" s="300"/>
      <c r="AK95" s="300"/>
      <c r="AL95" s="300"/>
      <c r="AM95" s="300"/>
      <c r="AN95" s="299">
        <f>SUM(AG95,AT95)</f>
        <v>0</v>
      </c>
      <c r="AO95" s="300"/>
      <c r="AP95" s="300"/>
      <c r="AQ95" s="153" t="s">
        <v>766</v>
      </c>
      <c r="AR95" s="150"/>
      <c r="AS95" s="154">
        <v>0</v>
      </c>
      <c r="AT95" s="155">
        <f>ROUND(SUM(AV95:AW95),2)</f>
        <v>0</v>
      </c>
      <c r="AU95" s="156">
        <f>'SO 801.1.1 - Hrubé terénn...'!P120</f>
        <v>0</v>
      </c>
      <c r="AV95" s="155">
        <f>'SO 801.1.1 - Hrubé terénn...'!J33</f>
        <v>0</v>
      </c>
      <c r="AW95" s="155">
        <f>'SO 801.1.1 - Hrubé terénn...'!J34</f>
        <v>0</v>
      </c>
      <c r="AX95" s="155">
        <f>'SO 801.1.1 - Hrubé terénn...'!J35</f>
        <v>0</v>
      </c>
      <c r="AY95" s="155">
        <f>'SO 801.1.1 - Hrubé terénn...'!J36</f>
        <v>0</v>
      </c>
      <c r="AZ95" s="155">
        <f>'SO 801.1.1 - Hrubé terénn...'!F33</f>
        <v>0</v>
      </c>
      <c r="BA95" s="155">
        <f>'SO 801.1.1 - Hrubé terénn...'!F34</f>
        <v>0</v>
      </c>
      <c r="BB95" s="155">
        <f>'SO 801.1.1 - Hrubé terénn...'!F35</f>
        <v>0</v>
      </c>
      <c r="BC95" s="155">
        <f>'SO 801.1.1 - Hrubé terénn...'!F36</f>
        <v>0</v>
      </c>
      <c r="BD95" s="157">
        <f>'SO 801.1.1 - Hrubé terénn...'!F37</f>
        <v>0</v>
      </c>
      <c r="BT95" s="159" t="s">
        <v>767</v>
      </c>
      <c r="BV95" s="159" t="s">
        <v>762</v>
      </c>
      <c r="BW95" s="159" t="s">
        <v>768</v>
      </c>
      <c r="BX95" s="159" t="s">
        <v>689</v>
      </c>
      <c r="CL95" s="159" t="s">
        <v>25</v>
      </c>
      <c r="CM95" s="159" t="s">
        <v>769</v>
      </c>
    </row>
    <row r="96" spans="1:91" s="158" customFormat="1" ht="24.75" customHeight="1">
      <c r="A96" s="149" t="s">
        <v>764</v>
      </c>
      <c r="B96" s="150"/>
      <c r="C96" s="151"/>
      <c r="D96" s="298" t="s">
        <v>770</v>
      </c>
      <c r="E96" s="298"/>
      <c r="F96" s="298"/>
      <c r="G96" s="298"/>
      <c r="H96" s="298"/>
      <c r="I96" s="152"/>
      <c r="J96" s="298" t="s">
        <v>486</v>
      </c>
      <c r="K96" s="298"/>
      <c r="L96" s="298"/>
      <c r="M96" s="298"/>
      <c r="N96" s="298"/>
      <c r="O96" s="298"/>
      <c r="P96" s="298"/>
      <c r="Q96" s="298"/>
      <c r="R96" s="298"/>
      <c r="S96" s="298"/>
      <c r="T96" s="298"/>
      <c r="U96" s="298"/>
      <c r="V96" s="298"/>
      <c r="W96" s="298"/>
      <c r="X96" s="298"/>
      <c r="Y96" s="298"/>
      <c r="Z96" s="298"/>
      <c r="AA96" s="298"/>
      <c r="AB96" s="298"/>
      <c r="AC96" s="298"/>
      <c r="AD96" s="298"/>
      <c r="AE96" s="298"/>
      <c r="AF96" s="298"/>
      <c r="AG96" s="299">
        <f>'SO 801.1.2 - Příprava plo...'!J30</f>
        <v>0</v>
      </c>
      <c r="AH96" s="300"/>
      <c r="AI96" s="300"/>
      <c r="AJ96" s="300"/>
      <c r="AK96" s="300"/>
      <c r="AL96" s="300"/>
      <c r="AM96" s="300"/>
      <c r="AN96" s="299">
        <f>SUM(AG96,AT96)</f>
        <v>0</v>
      </c>
      <c r="AO96" s="300"/>
      <c r="AP96" s="300"/>
      <c r="AQ96" s="153" t="s">
        <v>766</v>
      </c>
      <c r="AR96" s="150"/>
      <c r="AS96" s="154">
        <v>0</v>
      </c>
      <c r="AT96" s="155">
        <f>ROUND(SUM(AV96:AW96),2)</f>
        <v>0</v>
      </c>
      <c r="AU96" s="156">
        <f>'SO 801.1.2 - Příprava plo...'!P122</f>
        <v>0</v>
      </c>
      <c r="AV96" s="155">
        <f>'SO 801.1.2 - Příprava plo...'!J33</f>
        <v>0</v>
      </c>
      <c r="AW96" s="155">
        <f>'SO 801.1.2 - Příprava plo...'!J34</f>
        <v>0</v>
      </c>
      <c r="AX96" s="155">
        <f>'SO 801.1.2 - Příprava plo...'!J35</f>
        <v>0</v>
      </c>
      <c r="AY96" s="155">
        <f>'SO 801.1.2 - Příprava plo...'!J36</f>
        <v>0</v>
      </c>
      <c r="AZ96" s="155">
        <f>'SO 801.1.2 - Příprava plo...'!F33</f>
        <v>0</v>
      </c>
      <c r="BA96" s="155">
        <f>'SO 801.1.2 - Příprava plo...'!F34</f>
        <v>0</v>
      </c>
      <c r="BB96" s="155">
        <f>'SO 801.1.2 - Příprava plo...'!F35</f>
        <v>0</v>
      </c>
      <c r="BC96" s="155">
        <f>'SO 801.1.2 - Příprava plo...'!F36</f>
        <v>0</v>
      </c>
      <c r="BD96" s="157">
        <f>'SO 801.1.2 - Příprava plo...'!F37</f>
        <v>0</v>
      </c>
      <c r="BT96" s="159" t="s">
        <v>767</v>
      </c>
      <c r="BV96" s="159" t="s">
        <v>762</v>
      </c>
      <c r="BW96" s="159" t="s">
        <v>771</v>
      </c>
      <c r="BX96" s="159" t="s">
        <v>689</v>
      </c>
      <c r="CL96" s="159" t="s">
        <v>25</v>
      </c>
      <c r="CM96" s="159" t="s">
        <v>769</v>
      </c>
    </row>
    <row r="97" spans="1:91" s="158" customFormat="1" ht="24.75" customHeight="1">
      <c r="A97" s="149" t="s">
        <v>764</v>
      </c>
      <c r="B97" s="150"/>
      <c r="C97" s="151"/>
      <c r="D97" s="298" t="s">
        <v>772</v>
      </c>
      <c r="E97" s="298"/>
      <c r="F97" s="298"/>
      <c r="G97" s="298"/>
      <c r="H97" s="298"/>
      <c r="I97" s="152"/>
      <c r="J97" s="298" t="s">
        <v>490</v>
      </c>
      <c r="K97" s="298"/>
      <c r="L97" s="298"/>
      <c r="M97" s="298"/>
      <c r="N97" s="298"/>
      <c r="O97" s="298"/>
      <c r="P97" s="298"/>
      <c r="Q97" s="298"/>
      <c r="R97" s="298"/>
      <c r="S97" s="298"/>
      <c r="T97" s="298"/>
      <c r="U97" s="298"/>
      <c r="V97" s="298"/>
      <c r="W97" s="298"/>
      <c r="X97" s="298"/>
      <c r="Y97" s="298"/>
      <c r="Z97" s="298"/>
      <c r="AA97" s="298"/>
      <c r="AB97" s="298"/>
      <c r="AC97" s="298"/>
      <c r="AD97" s="298"/>
      <c r="AE97" s="298"/>
      <c r="AF97" s="298"/>
      <c r="AG97" s="299">
        <f>'SO 801.2.1 - Založení veg...'!J30</f>
        <v>0</v>
      </c>
      <c r="AH97" s="300"/>
      <c r="AI97" s="300"/>
      <c r="AJ97" s="300"/>
      <c r="AK97" s="300"/>
      <c r="AL97" s="300"/>
      <c r="AM97" s="300"/>
      <c r="AN97" s="299">
        <f>SUM(AG97,AT97)</f>
        <v>0</v>
      </c>
      <c r="AO97" s="300"/>
      <c r="AP97" s="300"/>
      <c r="AQ97" s="153" t="s">
        <v>766</v>
      </c>
      <c r="AR97" s="150"/>
      <c r="AS97" s="154">
        <v>0</v>
      </c>
      <c r="AT97" s="155">
        <f>ROUND(SUM(AV97:AW97),2)</f>
        <v>0</v>
      </c>
      <c r="AU97" s="156">
        <f>'SO 801.2.1 - Založení veg...'!P124</f>
        <v>0</v>
      </c>
      <c r="AV97" s="155">
        <f>'SO 801.2.1 - Založení veg...'!J33</f>
        <v>0</v>
      </c>
      <c r="AW97" s="155">
        <f>'SO 801.2.1 - Založení veg...'!J34</f>
        <v>0</v>
      </c>
      <c r="AX97" s="155">
        <f>'SO 801.2.1 - Založení veg...'!J35</f>
        <v>0</v>
      </c>
      <c r="AY97" s="155">
        <f>'SO 801.2.1 - Založení veg...'!J36</f>
        <v>0</v>
      </c>
      <c r="AZ97" s="155">
        <f>'SO 801.2.1 - Založení veg...'!F33</f>
        <v>0</v>
      </c>
      <c r="BA97" s="155">
        <f>'SO 801.2.1 - Založení veg...'!F34</f>
        <v>0</v>
      </c>
      <c r="BB97" s="155">
        <f>'SO 801.2.1 - Založení veg...'!F35</f>
        <v>0</v>
      </c>
      <c r="BC97" s="155">
        <f>'SO 801.2.1 - Založení veg...'!F36</f>
        <v>0</v>
      </c>
      <c r="BD97" s="157">
        <f>'SO 801.2.1 - Založení veg...'!F37</f>
        <v>0</v>
      </c>
      <c r="BT97" s="159" t="s">
        <v>767</v>
      </c>
      <c r="BV97" s="159" t="s">
        <v>762</v>
      </c>
      <c r="BW97" s="159" t="s">
        <v>773</v>
      </c>
      <c r="BX97" s="159" t="s">
        <v>689</v>
      </c>
      <c r="CL97" s="159" t="s">
        <v>25</v>
      </c>
      <c r="CM97" s="159" t="s">
        <v>769</v>
      </c>
    </row>
    <row r="98" spans="1:91" s="158" customFormat="1" ht="24.75" customHeight="1">
      <c r="A98" s="149" t="s">
        <v>764</v>
      </c>
      <c r="B98" s="150"/>
      <c r="C98" s="151"/>
      <c r="D98" s="298" t="s">
        <v>774</v>
      </c>
      <c r="E98" s="298"/>
      <c r="F98" s="298"/>
      <c r="G98" s="298"/>
      <c r="H98" s="298"/>
      <c r="I98" s="152"/>
      <c r="J98" s="298" t="s">
        <v>494</v>
      </c>
      <c r="K98" s="298"/>
      <c r="L98" s="298"/>
      <c r="M98" s="298"/>
      <c r="N98" s="298"/>
      <c r="O98" s="298"/>
      <c r="P98" s="298"/>
      <c r="Q98" s="298"/>
      <c r="R98" s="298"/>
      <c r="S98" s="298"/>
      <c r="T98" s="298"/>
      <c r="U98" s="298"/>
      <c r="V98" s="298"/>
      <c r="W98" s="298"/>
      <c r="X98" s="298"/>
      <c r="Y98" s="298"/>
      <c r="Z98" s="298"/>
      <c r="AA98" s="298"/>
      <c r="AB98" s="298"/>
      <c r="AC98" s="298"/>
      <c r="AD98" s="298"/>
      <c r="AE98" s="298"/>
      <c r="AF98" s="298"/>
      <c r="AG98" s="299">
        <f>'SO 801.2.2 - Rozvojová pé...'!J30</f>
        <v>0</v>
      </c>
      <c r="AH98" s="300"/>
      <c r="AI98" s="300"/>
      <c r="AJ98" s="300"/>
      <c r="AK98" s="300"/>
      <c r="AL98" s="300"/>
      <c r="AM98" s="300"/>
      <c r="AN98" s="299">
        <f>SUM(AG98,AT98)</f>
        <v>0</v>
      </c>
      <c r="AO98" s="300"/>
      <c r="AP98" s="300"/>
      <c r="AQ98" s="153" t="s">
        <v>766</v>
      </c>
      <c r="AR98" s="150"/>
      <c r="AS98" s="160">
        <v>0</v>
      </c>
      <c r="AT98" s="161">
        <f>ROUND(SUM(AV98:AW98),2)</f>
        <v>0</v>
      </c>
      <c r="AU98" s="162">
        <f>'SO 801.2.2 - Rozvojová pé...'!P125</f>
        <v>0</v>
      </c>
      <c r="AV98" s="161">
        <f>'SO 801.2.2 - Rozvojová pé...'!J33</f>
        <v>0</v>
      </c>
      <c r="AW98" s="161">
        <f>'SO 801.2.2 - Rozvojová pé...'!J34</f>
        <v>0</v>
      </c>
      <c r="AX98" s="161">
        <f>'SO 801.2.2 - Rozvojová pé...'!J35</f>
        <v>0</v>
      </c>
      <c r="AY98" s="161">
        <f>'SO 801.2.2 - Rozvojová pé...'!J36</f>
        <v>0</v>
      </c>
      <c r="AZ98" s="161">
        <f>'SO 801.2.2 - Rozvojová pé...'!F33</f>
        <v>0</v>
      </c>
      <c r="BA98" s="161">
        <f>'SO 801.2.2 - Rozvojová pé...'!F34</f>
        <v>0</v>
      </c>
      <c r="BB98" s="161">
        <f>'SO 801.2.2 - Rozvojová pé...'!F35</f>
        <v>0</v>
      </c>
      <c r="BC98" s="161">
        <f>'SO 801.2.2 - Rozvojová pé...'!F36</f>
        <v>0</v>
      </c>
      <c r="BD98" s="163">
        <f>'SO 801.2.2 - Rozvojová pé...'!F37</f>
        <v>0</v>
      </c>
      <c r="BT98" s="159" t="s">
        <v>767</v>
      </c>
      <c r="BV98" s="159" t="s">
        <v>762</v>
      </c>
      <c r="BW98" s="159" t="s">
        <v>775</v>
      </c>
      <c r="BX98" s="159" t="s">
        <v>689</v>
      </c>
      <c r="CL98" s="159" t="s">
        <v>25</v>
      </c>
      <c r="CM98" s="159" t="s">
        <v>769</v>
      </c>
    </row>
    <row r="99" spans="1:91" s="106" customFormat="1" ht="30" customHeight="1">
      <c r="B99" s="107"/>
      <c r="AR99" s="107"/>
    </row>
    <row r="100" spans="1:91" s="106" customFormat="1" ht="6.95" customHeight="1">
      <c r="B100" s="119"/>
      <c r="C100" s="120"/>
      <c r="D100" s="120"/>
      <c r="E100" s="120"/>
      <c r="F100" s="120"/>
      <c r="G100" s="120"/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20"/>
      <c r="X100" s="120"/>
      <c r="Y100" s="120"/>
      <c r="Z100" s="120"/>
      <c r="AA100" s="120"/>
      <c r="AB100" s="120"/>
      <c r="AC100" s="120"/>
      <c r="AD100" s="120"/>
      <c r="AE100" s="120"/>
      <c r="AF100" s="120"/>
      <c r="AG100" s="120"/>
      <c r="AH100" s="120"/>
      <c r="AI100" s="120"/>
      <c r="AJ100" s="120"/>
      <c r="AK100" s="120"/>
      <c r="AL100" s="120"/>
      <c r="AM100" s="120"/>
      <c r="AN100" s="120"/>
      <c r="AO100" s="120"/>
      <c r="AP100" s="120"/>
      <c r="AQ100" s="120"/>
      <c r="AR100" s="107"/>
    </row>
  </sheetData>
  <sheetProtection formatColumns="0" formatRows="0"/>
  <mergeCells count="54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85:AO8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  <mergeCell ref="D98:H98"/>
    <mergeCell ref="J98:AF98"/>
    <mergeCell ref="AG98:AM98"/>
    <mergeCell ref="AN98:AP98"/>
    <mergeCell ref="D96:H96"/>
    <mergeCell ref="J96:AF96"/>
    <mergeCell ref="AG96:AM96"/>
    <mergeCell ref="AN96:AP96"/>
    <mergeCell ref="D97:H97"/>
    <mergeCell ref="J97:AF97"/>
    <mergeCell ref="AG97:AM97"/>
    <mergeCell ref="AN97:AP97"/>
  </mergeCells>
  <hyperlinks>
    <hyperlink ref="A95" location="'SO 801.1.1 - Hrubé terénn...'!C2" display="/" xr:uid="{F4513205-476B-4202-8D97-C181D2800EBF}"/>
    <hyperlink ref="A96" location="'SO 801.1.2 - Příprava plo...'!C2" display="/" xr:uid="{13CDA1E7-26D5-4689-92A6-A38619DB92E2}"/>
    <hyperlink ref="A97" location="'SO 801.2.1 - Založení veg...'!C2" display="/" xr:uid="{98D6C849-1DB4-4FB2-8319-DCC56A46C08F}"/>
    <hyperlink ref="A98" location="'SO 801.2.2 - Rozvojová pé...'!C2" display="/" xr:uid="{F171B4C8-A01D-4881-BEAE-95E348C1E8CF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79B9A-FB83-4AFB-8BB2-8ABB2008352F}">
  <sheetPr>
    <tabColor theme="7" tint="0.39997558519241921"/>
    <pageSetUpPr fitToPage="1"/>
  </sheetPr>
  <dimension ref="B2:BM133"/>
  <sheetViews>
    <sheetView showGridLines="0" workbookViewId="0"/>
  </sheetViews>
  <sheetFormatPr defaultRowHeight="11.25"/>
  <cols>
    <col min="1" max="1" width="7.140625" style="91" customWidth="1"/>
    <col min="2" max="2" width="1.42578125" style="91" customWidth="1"/>
    <col min="3" max="3" width="3.5703125" style="91" customWidth="1"/>
    <col min="4" max="4" width="3.7109375" style="91" customWidth="1"/>
    <col min="5" max="5" width="14.7109375" style="91" customWidth="1"/>
    <col min="6" max="6" width="86.42578125" style="91" customWidth="1"/>
    <col min="7" max="7" width="6" style="91" customWidth="1"/>
    <col min="8" max="8" width="9.85546875" style="91" customWidth="1"/>
    <col min="9" max="9" width="17.28515625" style="164" customWidth="1"/>
    <col min="10" max="11" width="17.28515625" style="91" customWidth="1"/>
    <col min="12" max="12" width="8" style="91" customWidth="1"/>
    <col min="13" max="13" width="9.28515625" style="91" hidden="1" customWidth="1"/>
    <col min="14" max="14" width="9.140625" style="91"/>
    <col min="15" max="20" width="12.140625" style="91" hidden="1" customWidth="1"/>
    <col min="21" max="21" width="14" style="91" hidden="1" customWidth="1"/>
    <col min="22" max="22" width="10.5703125" style="91" customWidth="1"/>
    <col min="23" max="23" width="14" style="91" customWidth="1"/>
    <col min="24" max="24" width="10.5703125" style="91" customWidth="1"/>
    <col min="25" max="25" width="12.85546875" style="91" customWidth="1"/>
    <col min="26" max="26" width="9.42578125" style="91" customWidth="1"/>
    <col min="27" max="27" width="12.85546875" style="91" customWidth="1"/>
    <col min="28" max="28" width="14" style="91" customWidth="1"/>
    <col min="29" max="29" width="9.42578125" style="91" customWidth="1"/>
    <col min="30" max="30" width="12.85546875" style="91" customWidth="1"/>
    <col min="31" max="31" width="14" style="91" customWidth="1"/>
    <col min="32" max="16384" width="9.140625" style="91"/>
  </cols>
  <sheetData>
    <row r="2" spans="2:46" ht="36.950000000000003" customHeight="1"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92" t="s">
        <v>768</v>
      </c>
    </row>
    <row r="3" spans="2:46" ht="6.95" customHeight="1">
      <c r="B3" s="93"/>
      <c r="C3" s="94"/>
      <c r="D3" s="94"/>
      <c r="E3" s="94"/>
      <c r="F3" s="94"/>
      <c r="G3" s="94"/>
      <c r="H3" s="94"/>
      <c r="I3" s="165"/>
      <c r="J3" s="94"/>
      <c r="K3" s="94"/>
      <c r="L3" s="95"/>
      <c r="AT3" s="92" t="s">
        <v>769</v>
      </c>
    </row>
    <row r="4" spans="2:46" ht="24.95" customHeight="1">
      <c r="B4" s="95"/>
      <c r="D4" s="96" t="s">
        <v>776</v>
      </c>
      <c r="L4" s="95"/>
      <c r="M4" s="166" t="s">
        <v>694</v>
      </c>
      <c r="AT4" s="92" t="s">
        <v>688</v>
      </c>
    </row>
    <row r="5" spans="2:46" ht="6.95" customHeight="1">
      <c r="B5" s="95"/>
      <c r="L5" s="95"/>
    </row>
    <row r="6" spans="2:46" ht="12" customHeight="1">
      <c r="B6" s="95"/>
      <c r="D6" s="101" t="s">
        <v>700</v>
      </c>
      <c r="L6" s="95"/>
    </row>
    <row r="7" spans="2:46" ht="16.5" customHeight="1">
      <c r="B7" s="95"/>
      <c r="E7" s="337" t="str">
        <f>'19 - SO801_podrobně'!K6</f>
        <v>Lávka přes Labe v Nymburce - terénní a vegetační úpravy</v>
      </c>
      <c r="F7" s="338"/>
      <c r="G7" s="338"/>
      <c r="H7" s="338"/>
      <c r="L7" s="95"/>
    </row>
    <row r="8" spans="2:46" s="106" customFormat="1" ht="12" customHeight="1">
      <c r="B8" s="107"/>
      <c r="D8" s="101" t="s">
        <v>777</v>
      </c>
      <c r="I8" s="167"/>
      <c r="L8" s="107"/>
    </row>
    <row r="9" spans="2:46" s="106" customFormat="1" ht="16.5" customHeight="1">
      <c r="B9" s="107"/>
      <c r="E9" s="315" t="s">
        <v>778</v>
      </c>
      <c r="F9" s="336"/>
      <c r="G9" s="336"/>
      <c r="H9" s="336"/>
      <c r="I9" s="167"/>
      <c r="L9" s="107"/>
    </row>
    <row r="10" spans="2:46" s="106" customFormat="1">
      <c r="B10" s="107"/>
      <c r="I10" s="167"/>
      <c r="L10" s="107"/>
    </row>
    <row r="11" spans="2:46" s="106" customFormat="1" ht="12" customHeight="1">
      <c r="B11" s="107"/>
      <c r="D11" s="101" t="s">
        <v>702</v>
      </c>
      <c r="F11" s="102" t="s">
        <v>25</v>
      </c>
      <c r="I11" s="168" t="s">
        <v>703</v>
      </c>
      <c r="J11" s="102" t="s">
        <v>25</v>
      </c>
      <c r="L11" s="107"/>
    </row>
    <row r="12" spans="2:46" s="106" customFormat="1" ht="12" customHeight="1">
      <c r="B12" s="107"/>
      <c r="D12" s="101" t="s">
        <v>704</v>
      </c>
      <c r="F12" s="102" t="s">
        <v>705</v>
      </c>
      <c r="I12" s="168" t="s">
        <v>706</v>
      </c>
      <c r="J12" s="169" t="str">
        <f>'19 - SO801_podrobně'!AN8</f>
        <v>21. 11. 2019</v>
      </c>
      <c r="L12" s="107"/>
    </row>
    <row r="13" spans="2:46" s="106" customFormat="1" ht="10.9" customHeight="1">
      <c r="B13" s="107"/>
      <c r="I13" s="167"/>
      <c r="L13" s="107"/>
    </row>
    <row r="14" spans="2:46" s="106" customFormat="1" ht="12" customHeight="1">
      <c r="B14" s="107"/>
      <c r="D14" s="101" t="s">
        <v>708</v>
      </c>
      <c r="I14" s="168" t="s">
        <v>709</v>
      </c>
      <c r="J14" s="102" t="s">
        <v>25</v>
      </c>
      <c r="L14" s="107"/>
    </row>
    <row r="15" spans="2:46" s="106" customFormat="1" ht="18" customHeight="1">
      <c r="B15" s="107"/>
      <c r="E15" s="102" t="s">
        <v>711</v>
      </c>
      <c r="I15" s="168" t="s">
        <v>712</v>
      </c>
      <c r="J15" s="102" t="s">
        <v>25</v>
      </c>
      <c r="L15" s="107"/>
    </row>
    <row r="16" spans="2:46" s="106" customFormat="1" ht="6.95" customHeight="1">
      <c r="B16" s="107"/>
      <c r="I16" s="167"/>
      <c r="L16" s="107"/>
    </row>
    <row r="17" spans="2:12" s="106" customFormat="1" ht="12" customHeight="1">
      <c r="B17" s="107"/>
      <c r="D17" s="101" t="s">
        <v>714</v>
      </c>
      <c r="I17" s="168" t="s">
        <v>709</v>
      </c>
      <c r="J17" s="103" t="str">
        <f>'19 - SO801_podrobně'!AN13</f>
        <v>Vyplň údaj</v>
      </c>
      <c r="L17" s="107"/>
    </row>
    <row r="18" spans="2:12" s="106" customFormat="1" ht="18" customHeight="1">
      <c r="B18" s="107"/>
      <c r="E18" s="339" t="str">
        <f>'19 - SO801_podrobně'!E14</f>
        <v>Vyplň údaj</v>
      </c>
      <c r="F18" s="325"/>
      <c r="G18" s="325"/>
      <c r="H18" s="325"/>
      <c r="I18" s="168" t="s">
        <v>712</v>
      </c>
      <c r="J18" s="103" t="str">
        <f>'19 - SO801_podrobně'!AN14</f>
        <v>Vyplň údaj</v>
      </c>
      <c r="L18" s="107"/>
    </row>
    <row r="19" spans="2:12" s="106" customFormat="1" ht="6.95" customHeight="1">
      <c r="B19" s="107"/>
      <c r="I19" s="167"/>
      <c r="L19" s="107"/>
    </row>
    <row r="20" spans="2:12" s="106" customFormat="1" ht="12" customHeight="1">
      <c r="B20" s="107"/>
      <c r="D20" s="101" t="s">
        <v>716</v>
      </c>
      <c r="I20" s="168" t="s">
        <v>709</v>
      </c>
      <c r="J20" s="102" t="s">
        <v>717</v>
      </c>
      <c r="L20" s="107"/>
    </row>
    <row r="21" spans="2:12" s="106" customFormat="1" ht="18" customHeight="1">
      <c r="B21" s="107"/>
      <c r="E21" s="102" t="s">
        <v>718</v>
      </c>
      <c r="I21" s="168" t="s">
        <v>712</v>
      </c>
      <c r="J21" s="102" t="s">
        <v>719</v>
      </c>
      <c r="L21" s="107"/>
    </row>
    <row r="22" spans="2:12" s="106" customFormat="1" ht="6.95" customHeight="1">
      <c r="B22" s="107"/>
      <c r="I22" s="167"/>
      <c r="L22" s="107"/>
    </row>
    <row r="23" spans="2:12" s="106" customFormat="1" ht="12" customHeight="1">
      <c r="B23" s="107"/>
      <c r="D23" s="101" t="s">
        <v>721</v>
      </c>
      <c r="I23" s="168" t="s">
        <v>709</v>
      </c>
      <c r="J23" s="102" t="s">
        <v>717</v>
      </c>
      <c r="L23" s="107"/>
    </row>
    <row r="24" spans="2:12" s="106" customFormat="1" ht="18" customHeight="1">
      <c r="B24" s="107"/>
      <c r="E24" s="102" t="s">
        <v>718</v>
      </c>
      <c r="I24" s="168" t="s">
        <v>712</v>
      </c>
      <c r="J24" s="102" t="s">
        <v>719</v>
      </c>
      <c r="L24" s="107"/>
    </row>
    <row r="25" spans="2:12" s="106" customFormat="1" ht="6.95" customHeight="1">
      <c r="B25" s="107"/>
      <c r="I25" s="167"/>
      <c r="L25" s="107"/>
    </row>
    <row r="26" spans="2:12" s="106" customFormat="1" ht="12" customHeight="1">
      <c r="B26" s="107"/>
      <c r="D26" s="101" t="s">
        <v>722</v>
      </c>
      <c r="I26" s="167"/>
      <c r="L26" s="107"/>
    </row>
    <row r="27" spans="2:12" s="170" customFormat="1" ht="16.5" customHeight="1">
      <c r="B27" s="171"/>
      <c r="E27" s="332" t="s">
        <v>25</v>
      </c>
      <c r="F27" s="332"/>
      <c r="G27" s="332"/>
      <c r="H27" s="332"/>
      <c r="I27" s="172"/>
      <c r="L27" s="171"/>
    </row>
    <row r="28" spans="2:12" s="106" customFormat="1" ht="6.95" customHeight="1">
      <c r="B28" s="107"/>
      <c r="I28" s="167"/>
      <c r="L28" s="107"/>
    </row>
    <row r="29" spans="2:12" s="106" customFormat="1" ht="6.95" customHeight="1">
      <c r="B29" s="107"/>
      <c r="D29" s="129"/>
      <c r="E29" s="129"/>
      <c r="F29" s="129"/>
      <c r="G29" s="129"/>
      <c r="H29" s="129"/>
      <c r="I29" s="173"/>
      <c r="J29" s="129"/>
      <c r="K29" s="129"/>
      <c r="L29" s="107"/>
    </row>
    <row r="30" spans="2:12" s="106" customFormat="1" ht="25.35" customHeight="1">
      <c r="B30" s="107"/>
      <c r="D30" s="174" t="s">
        <v>723</v>
      </c>
      <c r="I30" s="167"/>
      <c r="J30" s="175">
        <f>ROUND(J120, 2)</f>
        <v>0</v>
      </c>
      <c r="L30" s="107"/>
    </row>
    <row r="31" spans="2:12" s="106" customFormat="1" ht="6.95" customHeight="1">
      <c r="B31" s="107"/>
      <c r="D31" s="129"/>
      <c r="E31" s="129"/>
      <c r="F31" s="129"/>
      <c r="G31" s="129"/>
      <c r="H31" s="129"/>
      <c r="I31" s="173"/>
      <c r="J31" s="129"/>
      <c r="K31" s="129"/>
      <c r="L31" s="107"/>
    </row>
    <row r="32" spans="2:12" s="106" customFormat="1" ht="14.45" customHeight="1">
      <c r="B32" s="107"/>
      <c r="F32" s="176" t="s">
        <v>725</v>
      </c>
      <c r="I32" s="177" t="s">
        <v>724</v>
      </c>
      <c r="J32" s="176" t="s">
        <v>726</v>
      </c>
      <c r="L32" s="107"/>
    </row>
    <row r="33" spans="2:12" s="106" customFormat="1" ht="14.45" customHeight="1">
      <c r="B33" s="107"/>
      <c r="D33" s="178" t="s">
        <v>727</v>
      </c>
      <c r="E33" s="101" t="s">
        <v>728</v>
      </c>
      <c r="F33" s="179">
        <f>ROUND((SUM(BE120:BE132)),  2)</f>
        <v>0</v>
      </c>
      <c r="I33" s="180">
        <v>0.21</v>
      </c>
      <c r="J33" s="179">
        <f>ROUND(((SUM(BE120:BE132))*I33),  2)</f>
        <v>0</v>
      </c>
      <c r="L33" s="107"/>
    </row>
    <row r="34" spans="2:12" s="106" customFormat="1" ht="14.45" customHeight="1">
      <c r="B34" s="107"/>
      <c r="E34" s="101" t="s">
        <v>729</v>
      </c>
      <c r="F34" s="179">
        <f>ROUND((SUM(BF120:BF132)),  2)</f>
        <v>0</v>
      </c>
      <c r="I34" s="180">
        <v>0.15</v>
      </c>
      <c r="J34" s="179">
        <f>ROUND(((SUM(BF120:BF132))*I34),  2)</f>
        <v>0</v>
      </c>
      <c r="L34" s="107"/>
    </row>
    <row r="35" spans="2:12" s="106" customFormat="1" ht="14.45" hidden="1" customHeight="1">
      <c r="B35" s="107"/>
      <c r="E35" s="101" t="s">
        <v>730</v>
      </c>
      <c r="F35" s="179">
        <f>ROUND((SUM(BG120:BG132)),  2)</f>
        <v>0</v>
      </c>
      <c r="I35" s="180">
        <v>0.21</v>
      </c>
      <c r="J35" s="179">
        <f>0</f>
        <v>0</v>
      </c>
      <c r="L35" s="107"/>
    </row>
    <row r="36" spans="2:12" s="106" customFormat="1" ht="14.45" hidden="1" customHeight="1">
      <c r="B36" s="107"/>
      <c r="E36" s="101" t="s">
        <v>731</v>
      </c>
      <c r="F36" s="179">
        <f>ROUND((SUM(BH120:BH132)),  2)</f>
        <v>0</v>
      </c>
      <c r="I36" s="180">
        <v>0.15</v>
      </c>
      <c r="J36" s="179">
        <f>0</f>
        <v>0</v>
      </c>
      <c r="L36" s="107"/>
    </row>
    <row r="37" spans="2:12" s="106" customFormat="1" ht="14.45" hidden="1" customHeight="1">
      <c r="B37" s="107"/>
      <c r="E37" s="101" t="s">
        <v>732</v>
      </c>
      <c r="F37" s="179">
        <f>ROUND((SUM(BI120:BI132)),  2)</f>
        <v>0</v>
      </c>
      <c r="I37" s="180">
        <v>0</v>
      </c>
      <c r="J37" s="179">
        <f>0</f>
        <v>0</v>
      </c>
      <c r="L37" s="107"/>
    </row>
    <row r="38" spans="2:12" s="106" customFormat="1" ht="6.95" customHeight="1">
      <c r="B38" s="107"/>
      <c r="I38" s="167"/>
      <c r="L38" s="107"/>
    </row>
    <row r="39" spans="2:12" s="106" customFormat="1" ht="25.35" customHeight="1">
      <c r="B39" s="107"/>
      <c r="C39" s="181"/>
      <c r="D39" s="182" t="s">
        <v>733</v>
      </c>
      <c r="E39" s="132"/>
      <c r="F39" s="132"/>
      <c r="G39" s="183" t="s">
        <v>734</v>
      </c>
      <c r="H39" s="184" t="s">
        <v>735</v>
      </c>
      <c r="I39" s="185"/>
      <c r="J39" s="186">
        <f>SUM(J30:J37)</f>
        <v>0</v>
      </c>
      <c r="K39" s="187"/>
      <c r="L39" s="107"/>
    </row>
    <row r="40" spans="2:12" s="106" customFormat="1" ht="14.45" customHeight="1">
      <c r="B40" s="107"/>
      <c r="I40" s="167"/>
      <c r="L40" s="107"/>
    </row>
    <row r="41" spans="2:12" ht="14.45" customHeight="1">
      <c r="B41" s="95"/>
      <c r="L41" s="95"/>
    </row>
    <row r="42" spans="2:12" ht="14.45" customHeight="1">
      <c r="B42" s="95"/>
      <c r="L42" s="95"/>
    </row>
    <row r="43" spans="2:12" ht="14.45" customHeight="1">
      <c r="B43" s="95"/>
      <c r="L43" s="95"/>
    </row>
    <row r="44" spans="2:12" ht="14.45" customHeight="1">
      <c r="B44" s="95"/>
      <c r="L44" s="95"/>
    </row>
    <row r="45" spans="2:12" ht="14.45" customHeight="1">
      <c r="B45" s="95"/>
      <c r="L45" s="95"/>
    </row>
    <row r="46" spans="2:12" ht="14.45" customHeight="1">
      <c r="B46" s="95"/>
      <c r="L46" s="95"/>
    </row>
    <row r="47" spans="2:12" ht="14.45" customHeight="1">
      <c r="B47" s="95"/>
      <c r="L47" s="95"/>
    </row>
    <row r="48" spans="2:12" ht="14.45" customHeight="1">
      <c r="B48" s="95"/>
      <c r="L48" s="95"/>
    </row>
    <row r="49" spans="2:12" ht="14.45" customHeight="1">
      <c r="B49" s="95"/>
      <c r="L49" s="95"/>
    </row>
    <row r="50" spans="2:12" s="106" customFormat="1" ht="14.45" customHeight="1">
      <c r="B50" s="107"/>
      <c r="D50" s="116" t="s">
        <v>736</v>
      </c>
      <c r="E50" s="117"/>
      <c r="F50" s="117"/>
      <c r="G50" s="116" t="s">
        <v>737</v>
      </c>
      <c r="H50" s="117"/>
      <c r="I50" s="188"/>
      <c r="J50" s="117"/>
      <c r="K50" s="117"/>
      <c r="L50" s="107"/>
    </row>
    <row r="51" spans="2:12">
      <c r="B51" s="95"/>
      <c r="L51" s="95"/>
    </row>
    <row r="52" spans="2:12">
      <c r="B52" s="95"/>
      <c r="L52" s="95"/>
    </row>
    <row r="53" spans="2:12">
      <c r="B53" s="95"/>
      <c r="L53" s="95"/>
    </row>
    <row r="54" spans="2:12">
      <c r="B54" s="95"/>
      <c r="L54" s="95"/>
    </row>
    <row r="55" spans="2:12">
      <c r="B55" s="95"/>
      <c r="L55" s="95"/>
    </row>
    <row r="56" spans="2:12">
      <c r="B56" s="95"/>
      <c r="L56" s="95"/>
    </row>
    <row r="57" spans="2:12">
      <c r="B57" s="95"/>
      <c r="L57" s="95"/>
    </row>
    <row r="58" spans="2:12">
      <c r="B58" s="95"/>
      <c r="L58" s="95"/>
    </row>
    <row r="59" spans="2:12">
      <c r="B59" s="95"/>
      <c r="L59" s="95"/>
    </row>
    <row r="60" spans="2:12">
      <c r="B60" s="95"/>
      <c r="L60" s="95"/>
    </row>
    <row r="61" spans="2:12" s="106" customFormat="1" ht="12.75">
      <c r="B61" s="107"/>
      <c r="D61" s="118" t="s">
        <v>738</v>
      </c>
      <c r="E61" s="109"/>
      <c r="F61" s="189" t="s">
        <v>739</v>
      </c>
      <c r="G61" s="118" t="s">
        <v>738</v>
      </c>
      <c r="H61" s="109"/>
      <c r="I61" s="190"/>
      <c r="J61" s="191" t="s">
        <v>739</v>
      </c>
      <c r="K61" s="109"/>
      <c r="L61" s="107"/>
    </row>
    <row r="62" spans="2:12">
      <c r="B62" s="95"/>
      <c r="L62" s="95"/>
    </row>
    <row r="63" spans="2:12">
      <c r="B63" s="95"/>
      <c r="L63" s="95"/>
    </row>
    <row r="64" spans="2:12">
      <c r="B64" s="95"/>
      <c r="L64" s="95"/>
    </row>
    <row r="65" spans="2:12" s="106" customFormat="1" ht="12.75">
      <c r="B65" s="107"/>
      <c r="D65" s="116" t="s">
        <v>740</v>
      </c>
      <c r="E65" s="117"/>
      <c r="F65" s="117"/>
      <c r="G65" s="116" t="s">
        <v>741</v>
      </c>
      <c r="H65" s="117"/>
      <c r="I65" s="188"/>
      <c r="J65" s="117"/>
      <c r="K65" s="117"/>
      <c r="L65" s="107"/>
    </row>
    <row r="66" spans="2:12">
      <c r="B66" s="95"/>
      <c r="L66" s="95"/>
    </row>
    <row r="67" spans="2:12">
      <c r="B67" s="95"/>
      <c r="L67" s="95"/>
    </row>
    <row r="68" spans="2:12">
      <c r="B68" s="95"/>
      <c r="L68" s="95"/>
    </row>
    <row r="69" spans="2:12">
      <c r="B69" s="95"/>
      <c r="L69" s="95"/>
    </row>
    <row r="70" spans="2:12">
      <c r="B70" s="95"/>
      <c r="L70" s="95"/>
    </row>
    <row r="71" spans="2:12">
      <c r="B71" s="95"/>
      <c r="L71" s="95"/>
    </row>
    <row r="72" spans="2:12">
      <c r="B72" s="95"/>
      <c r="L72" s="95"/>
    </row>
    <row r="73" spans="2:12">
      <c r="B73" s="95"/>
      <c r="L73" s="95"/>
    </row>
    <row r="74" spans="2:12">
      <c r="B74" s="95"/>
      <c r="L74" s="95"/>
    </row>
    <row r="75" spans="2:12">
      <c r="B75" s="95"/>
      <c r="L75" s="95"/>
    </row>
    <row r="76" spans="2:12" s="106" customFormat="1" ht="12.75">
      <c r="B76" s="107"/>
      <c r="D76" s="118" t="s">
        <v>738</v>
      </c>
      <c r="E76" s="109"/>
      <c r="F76" s="189" t="s">
        <v>739</v>
      </c>
      <c r="G76" s="118" t="s">
        <v>738</v>
      </c>
      <c r="H76" s="109"/>
      <c r="I76" s="190"/>
      <c r="J76" s="191" t="s">
        <v>739</v>
      </c>
      <c r="K76" s="109"/>
      <c r="L76" s="107"/>
    </row>
    <row r="77" spans="2:12" s="106" customFormat="1" ht="14.45" customHeight="1">
      <c r="B77" s="119"/>
      <c r="C77" s="120"/>
      <c r="D77" s="120"/>
      <c r="E77" s="120"/>
      <c r="F77" s="120"/>
      <c r="G77" s="120"/>
      <c r="H77" s="120"/>
      <c r="I77" s="192"/>
      <c r="J77" s="120"/>
      <c r="K77" s="120"/>
      <c r="L77" s="107"/>
    </row>
    <row r="81" spans="2:47" s="106" customFormat="1" ht="6.95" customHeight="1">
      <c r="B81" s="121"/>
      <c r="C81" s="122"/>
      <c r="D81" s="122"/>
      <c r="E81" s="122"/>
      <c r="F81" s="122"/>
      <c r="G81" s="122"/>
      <c r="H81" s="122"/>
      <c r="I81" s="193"/>
      <c r="J81" s="122"/>
      <c r="K81" s="122"/>
      <c r="L81" s="107"/>
    </row>
    <row r="82" spans="2:47" s="106" customFormat="1" ht="24.95" customHeight="1">
      <c r="B82" s="107"/>
      <c r="C82" s="96" t="s">
        <v>779</v>
      </c>
      <c r="I82" s="167"/>
      <c r="L82" s="107"/>
    </row>
    <row r="83" spans="2:47" s="106" customFormat="1" ht="6.95" customHeight="1">
      <c r="B83" s="107"/>
      <c r="I83" s="167"/>
      <c r="L83" s="107"/>
    </row>
    <row r="84" spans="2:47" s="106" customFormat="1" ht="12" customHeight="1">
      <c r="B84" s="107"/>
      <c r="C84" s="101" t="s">
        <v>700</v>
      </c>
      <c r="I84" s="167"/>
      <c r="L84" s="107"/>
    </row>
    <row r="85" spans="2:47" s="106" customFormat="1" ht="16.5" customHeight="1">
      <c r="B85" s="107"/>
      <c r="E85" s="337" t="str">
        <f>E7</f>
        <v>Lávka přes Labe v Nymburce - terénní a vegetační úpravy</v>
      </c>
      <c r="F85" s="338"/>
      <c r="G85" s="338"/>
      <c r="H85" s="338"/>
      <c r="I85" s="167"/>
      <c r="L85" s="107"/>
    </row>
    <row r="86" spans="2:47" s="106" customFormat="1" ht="12" customHeight="1">
      <c r="B86" s="107"/>
      <c r="C86" s="101" t="s">
        <v>777</v>
      </c>
      <c r="I86" s="167"/>
      <c r="L86" s="107"/>
    </row>
    <row r="87" spans="2:47" s="106" customFormat="1" ht="16.5" customHeight="1">
      <c r="B87" s="107"/>
      <c r="E87" s="315" t="str">
        <f>E9</f>
        <v>SO 801.1.1 - Hrubé terénní úpravy a doplnění ornice</v>
      </c>
      <c r="F87" s="336"/>
      <c r="G87" s="336"/>
      <c r="H87" s="336"/>
      <c r="I87" s="167"/>
      <c r="L87" s="107"/>
    </row>
    <row r="88" spans="2:47" s="106" customFormat="1" ht="6.95" customHeight="1">
      <c r="B88" s="107"/>
      <c r="I88" s="167"/>
      <c r="L88" s="107"/>
    </row>
    <row r="89" spans="2:47" s="106" customFormat="1" ht="12" customHeight="1">
      <c r="B89" s="107"/>
      <c r="C89" s="101" t="s">
        <v>704</v>
      </c>
      <c r="F89" s="102" t="str">
        <f>F12</f>
        <v xml:space="preserve">Lávka </v>
      </c>
      <c r="I89" s="168" t="s">
        <v>706</v>
      </c>
      <c r="J89" s="169" t="str">
        <f>IF(J12="","",J12)</f>
        <v>21. 11. 2019</v>
      </c>
      <c r="L89" s="107"/>
    </row>
    <row r="90" spans="2:47" s="106" customFormat="1" ht="6.95" customHeight="1">
      <c r="B90" s="107"/>
      <c r="I90" s="167"/>
      <c r="L90" s="107"/>
    </row>
    <row r="91" spans="2:47" s="106" customFormat="1" ht="25.7" customHeight="1">
      <c r="B91" s="107"/>
      <c r="C91" s="101" t="s">
        <v>708</v>
      </c>
      <c r="F91" s="102" t="str">
        <f>E15</f>
        <v>Město Nymburk</v>
      </c>
      <c r="I91" s="168" t="s">
        <v>716</v>
      </c>
      <c r="J91" s="194" t="str">
        <f>E21</f>
        <v>Ing. Gabriela Mlatečková Čížková</v>
      </c>
      <c r="L91" s="107"/>
    </row>
    <row r="92" spans="2:47" s="106" customFormat="1" ht="25.7" customHeight="1">
      <c r="B92" s="107"/>
      <c r="C92" s="101" t="s">
        <v>714</v>
      </c>
      <c r="F92" s="102" t="str">
        <f>IF(E18="","",E18)</f>
        <v>Vyplň údaj</v>
      </c>
      <c r="I92" s="168" t="s">
        <v>721</v>
      </c>
      <c r="J92" s="194" t="str">
        <f>E24</f>
        <v>Ing. Gabriela Mlatečková Čížková</v>
      </c>
      <c r="L92" s="107"/>
    </row>
    <row r="93" spans="2:47" s="106" customFormat="1" ht="10.35" customHeight="1">
      <c r="B93" s="107"/>
      <c r="I93" s="167"/>
      <c r="L93" s="107"/>
    </row>
    <row r="94" spans="2:47" s="106" customFormat="1" ht="29.25" customHeight="1">
      <c r="B94" s="107"/>
      <c r="C94" s="195" t="s">
        <v>780</v>
      </c>
      <c r="D94" s="181"/>
      <c r="E94" s="181"/>
      <c r="F94" s="181"/>
      <c r="G94" s="181"/>
      <c r="H94" s="181"/>
      <c r="I94" s="196"/>
      <c r="J94" s="197" t="s">
        <v>781</v>
      </c>
      <c r="K94" s="181"/>
      <c r="L94" s="107"/>
    </row>
    <row r="95" spans="2:47" s="106" customFormat="1" ht="10.35" customHeight="1">
      <c r="B95" s="107"/>
      <c r="I95" s="167"/>
      <c r="L95" s="107"/>
    </row>
    <row r="96" spans="2:47" s="106" customFormat="1" ht="22.9" customHeight="1">
      <c r="B96" s="107"/>
      <c r="C96" s="198" t="s">
        <v>782</v>
      </c>
      <c r="I96" s="167"/>
      <c r="J96" s="175">
        <f>J120</f>
        <v>0</v>
      </c>
      <c r="L96" s="107"/>
      <c r="AU96" s="92" t="s">
        <v>783</v>
      </c>
    </row>
    <row r="97" spans="2:12" s="199" customFormat="1" ht="24.95" customHeight="1">
      <c r="B97" s="200"/>
      <c r="D97" s="201" t="s">
        <v>784</v>
      </c>
      <c r="E97" s="202"/>
      <c r="F97" s="202"/>
      <c r="G97" s="202"/>
      <c r="H97" s="202"/>
      <c r="I97" s="203"/>
      <c r="J97" s="204">
        <f>J121</f>
        <v>0</v>
      </c>
      <c r="L97" s="200"/>
    </row>
    <row r="98" spans="2:12" s="205" customFormat="1" ht="19.899999999999999" customHeight="1">
      <c r="B98" s="206"/>
      <c r="D98" s="207" t="s">
        <v>785</v>
      </c>
      <c r="E98" s="208"/>
      <c r="F98" s="208"/>
      <c r="G98" s="208"/>
      <c r="H98" s="208"/>
      <c r="I98" s="209"/>
      <c r="J98" s="210">
        <f>J122</f>
        <v>0</v>
      </c>
      <c r="L98" s="206"/>
    </row>
    <row r="99" spans="2:12" s="199" customFormat="1" ht="24.95" customHeight="1">
      <c r="B99" s="200"/>
      <c r="D99" s="201" t="s">
        <v>786</v>
      </c>
      <c r="E99" s="202"/>
      <c r="F99" s="202"/>
      <c r="G99" s="202"/>
      <c r="H99" s="202"/>
      <c r="I99" s="203"/>
      <c r="J99" s="204">
        <f>J129</f>
        <v>0</v>
      </c>
      <c r="L99" s="200"/>
    </row>
    <row r="100" spans="2:12" s="205" customFormat="1" ht="19.899999999999999" customHeight="1">
      <c r="B100" s="206"/>
      <c r="D100" s="207" t="s">
        <v>787</v>
      </c>
      <c r="E100" s="208"/>
      <c r="F100" s="208"/>
      <c r="G100" s="208"/>
      <c r="H100" s="208"/>
      <c r="I100" s="209"/>
      <c r="J100" s="210">
        <f>J130</f>
        <v>0</v>
      </c>
      <c r="L100" s="206"/>
    </row>
    <row r="101" spans="2:12" s="106" customFormat="1" ht="21.75" customHeight="1">
      <c r="B101" s="107"/>
      <c r="I101" s="167"/>
      <c r="L101" s="107"/>
    </row>
    <row r="102" spans="2:12" s="106" customFormat="1" ht="6.95" customHeight="1">
      <c r="B102" s="119"/>
      <c r="C102" s="120"/>
      <c r="D102" s="120"/>
      <c r="E102" s="120"/>
      <c r="F102" s="120"/>
      <c r="G102" s="120"/>
      <c r="H102" s="120"/>
      <c r="I102" s="192"/>
      <c r="J102" s="120"/>
      <c r="K102" s="120"/>
      <c r="L102" s="107"/>
    </row>
    <row r="106" spans="2:12" s="106" customFormat="1" ht="6.95" customHeight="1">
      <c r="B106" s="121"/>
      <c r="C106" s="122"/>
      <c r="D106" s="122"/>
      <c r="E106" s="122"/>
      <c r="F106" s="122"/>
      <c r="G106" s="122"/>
      <c r="H106" s="122"/>
      <c r="I106" s="193"/>
      <c r="J106" s="122"/>
      <c r="K106" s="122"/>
      <c r="L106" s="107"/>
    </row>
    <row r="107" spans="2:12" s="106" customFormat="1" ht="24.95" customHeight="1">
      <c r="B107" s="107"/>
      <c r="C107" s="96" t="s">
        <v>1</v>
      </c>
      <c r="I107" s="167"/>
      <c r="L107" s="107"/>
    </row>
    <row r="108" spans="2:12" s="106" customFormat="1" ht="6.95" customHeight="1">
      <c r="B108" s="107"/>
      <c r="I108" s="167"/>
      <c r="L108" s="107"/>
    </row>
    <row r="109" spans="2:12" s="106" customFormat="1" ht="12" customHeight="1">
      <c r="B109" s="107"/>
      <c r="C109" s="101" t="s">
        <v>700</v>
      </c>
      <c r="I109" s="167"/>
      <c r="L109" s="107"/>
    </row>
    <row r="110" spans="2:12" s="106" customFormat="1" ht="16.5" customHeight="1">
      <c r="B110" s="107"/>
      <c r="E110" s="337" t="str">
        <f>E7</f>
        <v>Lávka přes Labe v Nymburce - terénní a vegetační úpravy</v>
      </c>
      <c r="F110" s="338"/>
      <c r="G110" s="338"/>
      <c r="H110" s="338"/>
      <c r="I110" s="167"/>
      <c r="L110" s="107"/>
    </row>
    <row r="111" spans="2:12" s="106" customFormat="1" ht="12" customHeight="1">
      <c r="B111" s="107"/>
      <c r="C111" s="101" t="s">
        <v>777</v>
      </c>
      <c r="I111" s="167"/>
      <c r="L111" s="107"/>
    </row>
    <row r="112" spans="2:12" s="106" customFormat="1" ht="16.5" customHeight="1">
      <c r="B112" s="107"/>
      <c r="E112" s="315" t="str">
        <f>E9</f>
        <v>SO 801.1.1 - Hrubé terénní úpravy a doplnění ornice</v>
      </c>
      <c r="F112" s="336"/>
      <c r="G112" s="336"/>
      <c r="H112" s="336"/>
      <c r="I112" s="167"/>
      <c r="L112" s="107"/>
    </row>
    <row r="113" spans="2:65" s="106" customFormat="1" ht="6.95" customHeight="1">
      <c r="B113" s="107"/>
      <c r="I113" s="167"/>
      <c r="L113" s="107"/>
    </row>
    <row r="114" spans="2:65" s="106" customFormat="1" ht="12" customHeight="1">
      <c r="B114" s="107"/>
      <c r="C114" s="101" t="s">
        <v>704</v>
      </c>
      <c r="F114" s="102" t="str">
        <f>F12</f>
        <v xml:space="preserve">Lávka </v>
      </c>
      <c r="I114" s="168" t="s">
        <v>706</v>
      </c>
      <c r="J114" s="169" t="str">
        <f>IF(J12="","",J12)</f>
        <v>21. 11. 2019</v>
      </c>
      <c r="L114" s="107"/>
    </row>
    <row r="115" spans="2:65" s="106" customFormat="1" ht="6.95" customHeight="1">
      <c r="B115" s="107"/>
      <c r="I115" s="167"/>
      <c r="L115" s="107"/>
    </row>
    <row r="116" spans="2:65" s="106" customFormat="1" ht="25.7" customHeight="1">
      <c r="B116" s="107"/>
      <c r="C116" s="101" t="s">
        <v>708</v>
      </c>
      <c r="F116" s="102" t="str">
        <f>E15</f>
        <v>Město Nymburk</v>
      </c>
      <c r="I116" s="168" t="s">
        <v>716</v>
      </c>
      <c r="J116" s="194" t="str">
        <f>E21</f>
        <v>Ing. Gabriela Mlatečková Čížková</v>
      </c>
      <c r="L116" s="107"/>
    </row>
    <row r="117" spans="2:65" s="106" customFormat="1" ht="25.7" customHeight="1">
      <c r="B117" s="107"/>
      <c r="C117" s="101" t="s">
        <v>714</v>
      </c>
      <c r="F117" s="102" t="str">
        <f>IF(E18="","",E18)</f>
        <v>Vyplň údaj</v>
      </c>
      <c r="I117" s="168" t="s">
        <v>721</v>
      </c>
      <c r="J117" s="194" t="str">
        <f>E24</f>
        <v>Ing. Gabriela Mlatečková Čížková</v>
      </c>
      <c r="L117" s="107"/>
    </row>
    <row r="118" spans="2:65" s="106" customFormat="1" ht="10.35" customHeight="1">
      <c r="B118" s="107"/>
      <c r="I118" s="167"/>
      <c r="L118" s="107"/>
    </row>
    <row r="119" spans="2:65" s="211" customFormat="1" ht="29.25" customHeight="1">
      <c r="B119" s="212"/>
      <c r="C119" s="213" t="s">
        <v>788</v>
      </c>
      <c r="D119" s="214" t="s">
        <v>746</v>
      </c>
      <c r="E119" s="214" t="s">
        <v>11</v>
      </c>
      <c r="F119" s="214" t="s">
        <v>502</v>
      </c>
      <c r="G119" s="214" t="s">
        <v>18</v>
      </c>
      <c r="H119" s="214" t="s">
        <v>537</v>
      </c>
      <c r="I119" s="215" t="s">
        <v>789</v>
      </c>
      <c r="J119" s="214" t="s">
        <v>781</v>
      </c>
      <c r="K119" s="216" t="s">
        <v>790</v>
      </c>
      <c r="L119" s="212"/>
      <c r="M119" s="134" t="s">
        <v>25</v>
      </c>
      <c r="N119" s="135" t="s">
        <v>727</v>
      </c>
      <c r="O119" s="135" t="s">
        <v>791</v>
      </c>
      <c r="P119" s="135" t="s">
        <v>792</v>
      </c>
      <c r="Q119" s="135" t="s">
        <v>793</v>
      </c>
      <c r="R119" s="135" t="s">
        <v>794</v>
      </c>
      <c r="S119" s="135" t="s">
        <v>795</v>
      </c>
      <c r="T119" s="136" t="s">
        <v>796</v>
      </c>
    </row>
    <row r="120" spans="2:65" s="106" customFormat="1" ht="22.9" customHeight="1">
      <c r="B120" s="107"/>
      <c r="C120" s="140" t="s">
        <v>797</v>
      </c>
      <c r="I120" s="167"/>
      <c r="J120" s="217">
        <f>BK120</f>
        <v>0</v>
      </c>
      <c r="L120" s="107"/>
      <c r="M120" s="137"/>
      <c r="N120" s="129"/>
      <c r="O120" s="129"/>
      <c r="P120" s="218">
        <f>P121+P129</f>
        <v>0</v>
      </c>
      <c r="Q120" s="129"/>
      <c r="R120" s="218">
        <f>R121+R129</f>
        <v>309.54000000000002</v>
      </c>
      <c r="S120" s="129"/>
      <c r="T120" s="219">
        <f>T121+T129</f>
        <v>0</v>
      </c>
      <c r="AT120" s="92" t="s">
        <v>549</v>
      </c>
      <c r="AU120" s="92" t="s">
        <v>783</v>
      </c>
      <c r="BK120" s="220">
        <f>BK121+BK129</f>
        <v>0</v>
      </c>
    </row>
    <row r="121" spans="2:65" s="221" customFormat="1" ht="25.9" customHeight="1">
      <c r="B121" s="222"/>
      <c r="D121" s="223" t="s">
        <v>549</v>
      </c>
      <c r="E121" s="224" t="s">
        <v>798</v>
      </c>
      <c r="F121" s="224" t="s">
        <v>799</v>
      </c>
      <c r="I121" s="225"/>
      <c r="J121" s="226">
        <f>BK121</f>
        <v>0</v>
      </c>
      <c r="L121" s="222"/>
      <c r="M121" s="227"/>
      <c r="P121" s="228">
        <f>P122</f>
        <v>0</v>
      </c>
      <c r="R121" s="228">
        <f>R122</f>
        <v>309.54000000000002</v>
      </c>
      <c r="T121" s="229">
        <f>T122</f>
        <v>0</v>
      </c>
      <c r="AR121" s="223" t="s">
        <v>767</v>
      </c>
      <c r="AT121" s="230" t="s">
        <v>549</v>
      </c>
      <c r="AU121" s="230" t="s">
        <v>760</v>
      </c>
      <c r="AY121" s="223" t="s">
        <v>800</v>
      </c>
      <c r="BK121" s="231">
        <f>BK122</f>
        <v>0</v>
      </c>
    </row>
    <row r="122" spans="2:65" s="221" customFormat="1" ht="22.9" customHeight="1">
      <c r="B122" s="222"/>
      <c r="D122" s="223" t="s">
        <v>549</v>
      </c>
      <c r="E122" s="232" t="s">
        <v>767</v>
      </c>
      <c r="F122" s="232" t="s">
        <v>801</v>
      </c>
      <c r="I122" s="225"/>
      <c r="J122" s="233">
        <f>BK122</f>
        <v>0</v>
      </c>
      <c r="L122" s="222"/>
      <c r="M122" s="227"/>
      <c r="P122" s="228">
        <f>SUM(P123:P128)</f>
        <v>0</v>
      </c>
      <c r="R122" s="228">
        <f>SUM(R123:R128)</f>
        <v>309.54000000000002</v>
      </c>
      <c r="T122" s="229">
        <f>SUM(T123:T128)</f>
        <v>0</v>
      </c>
      <c r="AR122" s="223" t="s">
        <v>767</v>
      </c>
      <c r="AT122" s="230" t="s">
        <v>549</v>
      </c>
      <c r="AU122" s="230" t="s">
        <v>767</v>
      </c>
      <c r="AY122" s="223" t="s">
        <v>800</v>
      </c>
      <c r="BK122" s="231">
        <f>SUM(BK123:BK128)</f>
        <v>0</v>
      </c>
    </row>
    <row r="123" spans="2:65" s="106" customFormat="1" ht="21.75" customHeight="1">
      <c r="B123" s="107"/>
      <c r="C123" s="234" t="s">
        <v>802</v>
      </c>
      <c r="D123" s="234" t="s">
        <v>556</v>
      </c>
      <c r="E123" s="235" t="s">
        <v>803</v>
      </c>
      <c r="F123" s="236" t="s">
        <v>804</v>
      </c>
      <c r="G123" s="237" t="s">
        <v>617</v>
      </c>
      <c r="H123" s="238">
        <v>469</v>
      </c>
      <c r="I123" s="239"/>
      <c r="J123" s="240">
        <f>ROUND(I123*H123,2)</f>
        <v>0</v>
      </c>
      <c r="K123" s="236" t="s">
        <v>805</v>
      </c>
      <c r="L123" s="107"/>
      <c r="M123" s="241" t="s">
        <v>25</v>
      </c>
      <c r="N123" s="242" t="s">
        <v>728</v>
      </c>
      <c r="P123" s="243">
        <f>O123*H123</f>
        <v>0</v>
      </c>
      <c r="Q123" s="243">
        <v>0</v>
      </c>
      <c r="R123" s="243">
        <f>Q123*H123</f>
        <v>0</v>
      </c>
      <c r="S123" s="243">
        <v>0</v>
      </c>
      <c r="T123" s="244">
        <f>S123*H123</f>
        <v>0</v>
      </c>
      <c r="AR123" s="245" t="s">
        <v>806</v>
      </c>
      <c r="AT123" s="245" t="s">
        <v>556</v>
      </c>
      <c r="AU123" s="245" t="s">
        <v>769</v>
      </c>
      <c r="AY123" s="92" t="s">
        <v>800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92" t="s">
        <v>767</v>
      </c>
      <c r="BK123" s="246">
        <f>ROUND(I123*H123,2)</f>
        <v>0</v>
      </c>
      <c r="BL123" s="92" t="s">
        <v>806</v>
      </c>
      <c r="BM123" s="245" t="s">
        <v>807</v>
      </c>
    </row>
    <row r="124" spans="2:65" s="106" customFormat="1">
      <c r="B124" s="107"/>
      <c r="D124" s="247" t="s">
        <v>808</v>
      </c>
      <c r="F124" s="248" t="s">
        <v>809</v>
      </c>
      <c r="I124" s="167"/>
      <c r="L124" s="107"/>
      <c r="M124" s="249"/>
      <c r="T124" s="131"/>
      <c r="AT124" s="92" t="s">
        <v>808</v>
      </c>
      <c r="AU124" s="92" t="s">
        <v>769</v>
      </c>
    </row>
    <row r="125" spans="2:65" s="106" customFormat="1" ht="16.5" customHeight="1">
      <c r="B125" s="107"/>
      <c r="C125" s="250" t="s">
        <v>769</v>
      </c>
      <c r="D125" s="250" t="s">
        <v>64</v>
      </c>
      <c r="E125" s="251" t="s">
        <v>810</v>
      </c>
      <c r="F125" s="252" t="s">
        <v>811</v>
      </c>
      <c r="G125" s="253" t="s">
        <v>623</v>
      </c>
      <c r="H125" s="254">
        <v>309.54000000000002</v>
      </c>
      <c r="I125" s="255"/>
      <c r="J125" s="256">
        <f>ROUND(I125*H125,2)</f>
        <v>0</v>
      </c>
      <c r="K125" s="252" t="s">
        <v>805</v>
      </c>
      <c r="L125" s="257"/>
      <c r="M125" s="258" t="s">
        <v>25</v>
      </c>
      <c r="N125" s="259" t="s">
        <v>728</v>
      </c>
      <c r="P125" s="243">
        <f>O125*H125</f>
        <v>0</v>
      </c>
      <c r="Q125" s="243">
        <v>1</v>
      </c>
      <c r="R125" s="243">
        <f>Q125*H125</f>
        <v>309.54000000000002</v>
      </c>
      <c r="S125" s="243">
        <v>0</v>
      </c>
      <c r="T125" s="244">
        <f>S125*H125</f>
        <v>0</v>
      </c>
      <c r="AR125" s="245" t="s">
        <v>812</v>
      </c>
      <c r="AT125" s="245" t="s">
        <v>64</v>
      </c>
      <c r="AU125" s="245" t="s">
        <v>769</v>
      </c>
      <c r="AY125" s="92" t="s">
        <v>800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92" t="s">
        <v>767</v>
      </c>
      <c r="BK125" s="246">
        <f>ROUND(I125*H125,2)</f>
        <v>0</v>
      </c>
      <c r="BL125" s="92" t="s">
        <v>806</v>
      </c>
      <c r="BM125" s="245" t="s">
        <v>813</v>
      </c>
    </row>
    <row r="126" spans="2:65" s="106" customFormat="1">
      <c r="B126" s="107"/>
      <c r="D126" s="247" t="s">
        <v>808</v>
      </c>
      <c r="F126" s="248" t="s">
        <v>814</v>
      </c>
      <c r="I126" s="167"/>
      <c r="L126" s="107"/>
      <c r="M126" s="249"/>
      <c r="T126" s="131"/>
      <c r="AT126" s="92" t="s">
        <v>808</v>
      </c>
      <c r="AU126" s="92" t="s">
        <v>769</v>
      </c>
    </row>
    <row r="127" spans="2:65" s="260" customFormat="1">
      <c r="B127" s="261"/>
      <c r="D127" s="247" t="s">
        <v>815</v>
      </c>
      <c r="E127" s="262" t="s">
        <v>25</v>
      </c>
      <c r="F127" s="263" t="s">
        <v>816</v>
      </c>
      <c r="H127" s="264">
        <v>206.36</v>
      </c>
      <c r="I127" s="265"/>
      <c r="L127" s="261"/>
      <c r="M127" s="266"/>
      <c r="T127" s="267"/>
      <c r="AT127" s="262" t="s">
        <v>815</v>
      </c>
      <c r="AU127" s="262" t="s">
        <v>769</v>
      </c>
      <c r="AV127" s="260" t="s">
        <v>769</v>
      </c>
      <c r="AW127" s="260" t="s">
        <v>720</v>
      </c>
      <c r="AX127" s="260" t="s">
        <v>767</v>
      </c>
      <c r="AY127" s="262" t="s">
        <v>800</v>
      </c>
    </row>
    <row r="128" spans="2:65" s="260" customFormat="1">
      <c r="B128" s="261"/>
      <c r="D128" s="247" t="s">
        <v>815</v>
      </c>
      <c r="F128" s="263" t="s">
        <v>817</v>
      </c>
      <c r="H128" s="264">
        <v>309.54000000000002</v>
      </c>
      <c r="I128" s="265"/>
      <c r="L128" s="261"/>
      <c r="M128" s="266"/>
      <c r="T128" s="267"/>
      <c r="AT128" s="262" t="s">
        <v>815</v>
      </c>
      <c r="AU128" s="262" t="s">
        <v>769</v>
      </c>
      <c r="AV128" s="260" t="s">
        <v>769</v>
      </c>
      <c r="AW128" s="260" t="s">
        <v>688</v>
      </c>
      <c r="AX128" s="260" t="s">
        <v>767</v>
      </c>
      <c r="AY128" s="262" t="s">
        <v>800</v>
      </c>
    </row>
    <row r="129" spans="2:65" s="221" customFormat="1" ht="25.9" customHeight="1">
      <c r="B129" s="222"/>
      <c r="D129" s="223" t="s">
        <v>549</v>
      </c>
      <c r="E129" s="224" t="s">
        <v>631</v>
      </c>
      <c r="F129" s="224" t="s">
        <v>632</v>
      </c>
      <c r="I129" s="225"/>
      <c r="J129" s="226">
        <f>BK129</f>
        <v>0</v>
      </c>
      <c r="L129" s="222"/>
      <c r="M129" s="227"/>
      <c r="P129" s="228">
        <f>P130</f>
        <v>0</v>
      </c>
      <c r="R129" s="228">
        <f>R130</f>
        <v>0</v>
      </c>
      <c r="T129" s="229">
        <f>T130</f>
        <v>0</v>
      </c>
      <c r="AR129" s="223" t="s">
        <v>802</v>
      </c>
      <c r="AT129" s="230" t="s">
        <v>549</v>
      </c>
      <c r="AU129" s="230" t="s">
        <v>760</v>
      </c>
      <c r="AY129" s="223" t="s">
        <v>800</v>
      </c>
      <c r="BK129" s="231">
        <f>BK130</f>
        <v>0</v>
      </c>
    </row>
    <row r="130" spans="2:65" s="221" customFormat="1" ht="22.9" customHeight="1">
      <c r="B130" s="222"/>
      <c r="D130" s="223" t="s">
        <v>549</v>
      </c>
      <c r="E130" s="232" t="s">
        <v>818</v>
      </c>
      <c r="F130" s="232" t="s">
        <v>819</v>
      </c>
      <c r="I130" s="225"/>
      <c r="J130" s="233">
        <f>BK130</f>
        <v>0</v>
      </c>
      <c r="L130" s="222"/>
      <c r="M130" s="227"/>
      <c r="P130" s="228">
        <f>SUM(P131:P132)</f>
        <v>0</v>
      </c>
      <c r="R130" s="228">
        <f>SUM(R131:R132)</f>
        <v>0</v>
      </c>
      <c r="T130" s="229">
        <f>SUM(T131:T132)</f>
        <v>0</v>
      </c>
      <c r="AR130" s="223" t="s">
        <v>802</v>
      </c>
      <c r="AT130" s="230" t="s">
        <v>549</v>
      </c>
      <c r="AU130" s="230" t="s">
        <v>767</v>
      </c>
      <c r="AY130" s="223" t="s">
        <v>800</v>
      </c>
      <c r="BK130" s="231">
        <f>SUM(BK131:BK132)</f>
        <v>0</v>
      </c>
    </row>
    <row r="131" spans="2:65" s="106" customFormat="1" ht="16.5" customHeight="1">
      <c r="B131" s="107"/>
      <c r="C131" s="234" t="s">
        <v>806</v>
      </c>
      <c r="D131" s="234" t="s">
        <v>556</v>
      </c>
      <c r="E131" s="235" t="s">
        <v>820</v>
      </c>
      <c r="F131" s="236" t="s">
        <v>819</v>
      </c>
      <c r="G131" s="237" t="s">
        <v>821</v>
      </c>
      <c r="H131" s="238">
        <v>1</v>
      </c>
      <c r="I131" s="239"/>
      <c r="J131" s="240">
        <f>ROUND(I131*H131,2)</f>
        <v>0</v>
      </c>
      <c r="K131" s="236" t="s">
        <v>805</v>
      </c>
      <c r="L131" s="107"/>
      <c r="M131" s="241" t="s">
        <v>25</v>
      </c>
      <c r="N131" s="242" t="s">
        <v>728</v>
      </c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AR131" s="245" t="s">
        <v>822</v>
      </c>
      <c r="AT131" s="245" t="s">
        <v>556</v>
      </c>
      <c r="AU131" s="245" t="s">
        <v>769</v>
      </c>
      <c r="AY131" s="92" t="s">
        <v>800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92" t="s">
        <v>767</v>
      </c>
      <c r="BK131" s="246">
        <f>ROUND(I131*H131,2)</f>
        <v>0</v>
      </c>
      <c r="BL131" s="92" t="s">
        <v>822</v>
      </c>
      <c r="BM131" s="245" t="s">
        <v>823</v>
      </c>
    </row>
    <row r="132" spans="2:65" s="106" customFormat="1">
      <c r="B132" s="107"/>
      <c r="D132" s="247" t="s">
        <v>808</v>
      </c>
      <c r="F132" s="248" t="s">
        <v>819</v>
      </c>
      <c r="I132" s="167"/>
      <c r="L132" s="107"/>
      <c r="M132" s="268"/>
      <c r="N132" s="269"/>
      <c r="O132" s="269"/>
      <c r="P132" s="269"/>
      <c r="Q132" s="269"/>
      <c r="R132" s="269"/>
      <c r="S132" s="269"/>
      <c r="T132" s="270"/>
      <c r="AT132" s="92" t="s">
        <v>808</v>
      </c>
      <c r="AU132" s="92" t="s">
        <v>769</v>
      </c>
    </row>
    <row r="133" spans="2:65" s="106" customFormat="1" ht="6.95" customHeight="1">
      <c r="B133" s="119"/>
      <c r="C133" s="120"/>
      <c r="D133" s="120"/>
      <c r="E133" s="120"/>
      <c r="F133" s="120"/>
      <c r="G133" s="120"/>
      <c r="H133" s="120"/>
      <c r="I133" s="192"/>
      <c r="J133" s="120"/>
      <c r="K133" s="120"/>
      <c r="L133" s="107"/>
    </row>
  </sheetData>
  <sheetProtection formatColumns="0" formatRows="0" autoFilter="0"/>
  <autoFilter ref="C119:K132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15161-BAA1-42D0-AEAC-76A29C2EE9F1}">
  <sheetPr>
    <tabColor theme="7" tint="0.39997558519241921"/>
    <pageSetUpPr fitToPage="1"/>
  </sheetPr>
  <dimension ref="B2:BM173"/>
  <sheetViews>
    <sheetView showGridLines="0" workbookViewId="0"/>
  </sheetViews>
  <sheetFormatPr defaultRowHeight="11.25"/>
  <cols>
    <col min="1" max="1" width="7.140625" style="91" customWidth="1"/>
    <col min="2" max="2" width="1.42578125" style="91" customWidth="1"/>
    <col min="3" max="3" width="3.5703125" style="91" customWidth="1"/>
    <col min="4" max="4" width="3.7109375" style="91" customWidth="1"/>
    <col min="5" max="5" width="14.7109375" style="91" customWidth="1"/>
    <col min="6" max="6" width="86.42578125" style="91" customWidth="1"/>
    <col min="7" max="7" width="6" style="91" customWidth="1"/>
    <col min="8" max="8" width="9.85546875" style="91" customWidth="1"/>
    <col min="9" max="9" width="17.28515625" style="164" customWidth="1"/>
    <col min="10" max="11" width="17.28515625" style="91" customWidth="1"/>
    <col min="12" max="12" width="8" style="91" customWidth="1"/>
    <col min="13" max="13" width="9.28515625" style="91" hidden="1" customWidth="1"/>
    <col min="14" max="14" width="9.140625" style="91"/>
    <col min="15" max="20" width="12.140625" style="91" hidden="1" customWidth="1"/>
    <col min="21" max="21" width="14" style="91" hidden="1" customWidth="1"/>
    <col min="22" max="22" width="10.5703125" style="91" customWidth="1"/>
    <col min="23" max="23" width="14" style="91" customWidth="1"/>
    <col min="24" max="24" width="10.5703125" style="91" customWidth="1"/>
    <col min="25" max="25" width="12.85546875" style="91" customWidth="1"/>
    <col min="26" max="26" width="9.42578125" style="91" customWidth="1"/>
    <col min="27" max="27" width="12.85546875" style="91" customWidth="1"/>
    <col min="28" max="28" width="14" style="91" customWidth="1"/>
    <col min="29" max="29" width="9.42578125" style="91" customWidth="1"/>
    <col min="30" max="30" width="12.85546875" style="91" customWidth="1"/>
    <col min="31" max="31" width="14" style="91" customWidth="1"/>
    <col min="32" max="16384" width="9.140625" style="91"/>
  </cols>
  <sheetData>
    <row r="2" spans="2:46" ht="36.950000000000003" customHeight="1"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92" t="s">
        <v>771</v>
      </c>
    </row>
    <row r="3" spans="2:46" ht="6.95" customHeight="1">
      <c r="B3" s="93"/>
      <c r="C3" s="94"/>
      <c r="D3" s="94"/>
      <c r="E3" s="94"/>
      <c r="F3" s="94"/>
      <c r="G3" s="94"/>
      <c r="H3" s="94"/>
      <c r="I3" s="165"/>
      <c r="J3" s="94"/>
      <c r="K3" s="94"/>
      <c r="L3" s="95"/>
      <c r="AT3" s="92" t="s">
        <v>769</v>
      </c>
    </row>
    <row r="4" spans="2:46" ht="24.95" customHeight="1">
      <c r="B4" s="95"/>
      <c r="D4" s="96" t="s">
        <v>776</v>
      </c>
      <c r="L4" s="95"/>
      <c r="M4" s="166" t="s">
        <v>694</v>
      </c>
      <c r="AT4" s="92" t="s">
        <v>688</v>
      </c>
    </row>
    <row r="5" spans="2:46" ht="6.95" customHeight="1">
      <c r="B5" s="95"/>
      <c r="L5" s="95"/>
    </row>
    <row r="6" spans="2:46" ht="12" customHeight="1">
      <c r="B6" s="95"/>
      <c r="D6" s="101" t="s">
        <v>700</v>
      </c>
      <c r="L6" s="95"/>
    </row>
    <row r="7" spans="2:46" ht="16.5" customHeight="1">
      <c r="B7" s="95"/>
      <c r="E7" s="337" t="str">
        <f>'19 - SO801_podrobně'!K6</f>
        <v>Lávka přes Labe v Nymburce - terénní a vegetační úpravy</v>
      </c>
      <c r="F7" s="338"/>
      <c r="G7" s="338"/>
      <c r="H7" s="338"/>
      <c r="L7" s="95"/>
    </row>
    <row r="8" spans="2:46" s="106" customFormat="1" ht="12" customHeight="1">
      <c r="B8" s="107"/>
      <c r="D8" s="101" t="s">
        <v>777</v>
      </c>
      <c r="I8" s="167"/>
      <c r="L8" s="107"/>
    </row>
    <row r="9" spans="2:46" s="106" customFormat="1" ht="16.5" customHeight="1">
      <c r="B9" s="107"/>
      <c r="E9" s="315" t="s">
        <v>824</v>
      </c>
      <c r="F9" s="336"/>
      <c r="G9" s="336"/>
      <c r="H9" s="336"/>
      <c r="I9" s="167"/>
      <c r="L9" s="107"/>
    </row>
    <row r="10" spans="2:46" s="106" customFormat="1">
      <c r="B10" s="107"/>
      <c r="I10" s="167"/>
      <c r="L10" s="107"/>
    </row>
    <row r="11" spans="2:46" s="106" customFormat="1" ht="12" customHeight="1">
      <c r="B11" s="107"/>
      <c r="D11" s="101" t="s">
        <v>702</v>
      </c>
      <c r="F11" s="102" t="s">
        <v>25</v>
      </c>
      <c r="I11" s="168" t="s">
        <v>703</v>
      </c>
      <c r="J11" s="102" t="s">
        <v>25</v>
      </c>
      <c r="L11" s="107"/>
    </row>
    <row r="12" spans="2:46" s="106" customFormat="1" ht="12" customHeight="1">
      <c r="B12" s="107"/>
      <c r="D12" s="101" t="s">
        <v>704</v>
      </c>
      <c r="F12" s="102" t="s">
        <v>705</v>
      </c>
      <c r="I12" s="168" t="s">
        <v>706</v>
      </c>
      <c r="J12" s="169" t="str">
        <f>'19 - SO801_podrobně'!AN8</f>
        <v>21. 11. 2019</v>
      </c>
      <c r="L12" s="107"/>
    </row>
    <row r="13" spans="2:46" s="106" customFormat="1" ht="10.9" customHeight="1">
      <c r="B13" s="107"/>
      <c r="I13" s="167"/>
      <c r="L13" s="107"/>
    </row>
    <row r="14" spans="2:46" s="106" customFormat="1" ht="12" customHeight="1">
      <c r="B14" s="107"/>
      <c r="D14" s="101" t="s">
        <v>708</v>
      </c>
      <c r="I14" s="168" t="s">
        <v>709</v>
      </c>
      <c r="J14" s="102" t="s">
        <v>25</v>
      </c>
      <c r="L14" s="107"/>
    </row>
    <row r="15" spans="2:46" s="106" customFormat="1" ht="18" customHeight="1">
      <c r="B15" s="107"/>
      <c r="E15" s="102" t="s">
        <v>711</v>
      </c>
      <c r="I15" s="168" t="s">
        <v>712</v>
      </c>
      <c r="J15" s="102" t="s">
        <v>25</v>
      </c>
      <c r="L15" s="107"/>
    </row>
    <row r="16" spans="2:46" s="106" customFormat="1" ht="6.95" customHeight="1">
      <c r="B16" s="107"/>
      <c r="I16" s="167"/>
      <c r="L16" s="107"/>
    </row>
    <row r="17" spans="2:12" s="106" customFormat="1" ht="12" customHeight="1">
      <c r="B17" s="107"/>
      <c r="D17" s="101" t="s">
        <v>714</v>
      </c>
      <c r="I17" s="168" t="s">
        <v>709</v>
      </c>
      <c r="J17" s="103" t="str">
        <f>'19 - SO801_podrobně'!AN13</f>
        <v>Vyplň údaj</v>
      </c>
      <c r="L17" s="107"/>
    </row>
    <row r="18" spans="2:12" s="106" customFormat="1" ht="18" customHeight="1">
      <c r="B18" s="107"/>
      <c r="E18" s="339" t="str">
        <f>'19 - SO801_podrobně'!E14</f>
        <v>Vyplň údaj</v>
      </c>
      <c r="F18" s="325"/>
      <c r="G18" s="325"/>
      <c r="H18" s="325"/>
      <c r="I18" s="168" t="s">
        <v>712</v>
      </c>
      <c r="J18" s="103" t="str">
        <f>'19 - SO801_podrobně'!AN14</f>
        <v>Vyplň údaj</v>
      </c>
      <c r="L18" s="107"/>
    </row>
    <row r="19" spans="2:12" s="106" customFormat="1" ht="6.95" customHeight="1">
      <c r="B19" s="107"/>
      <c r="I19" s="167"/>
      <c r="L19" s="107"/>
    </row>
    <row r="20" spans="2:12" s="106" customFormat="1" ht="12" customHeight="1">
      <c r="B20" s="107"/>
      <c r="D20" s="101" t="s">
        <v>716</v>
      </c>
      <c r="I20" s="168" t="s">
        <v>709</v>
      </c>
      <c r="J20" s="102" t="s">
        <v>717</v>
      </c>
      <c r="L20" s="107"/>
    </row>
    <row r="21" spans="2:12" s="106" customFormat="1" ht="18" customHeight="1">
      <c r="B21" s="107"/>
      <c r="E21" s="102" t="s">
        <v>718</v>
      </c>
      <c r="I21" s="168" t="s">
        <v>712</v>
      </c>
      <c r="J21" s="102" t="s">
        <v>719</v>
      </c>
      <c r="L21" s="107"/>
    </row>
    <row r="22" spans="2:12" s="106" customFormat="1" ht="6.95" customHeight="1">
      <c r="B22" s="107"/>
      <c r="I22" s="167"/>
      <c r="L22" s="107"/>
    </row>
    <row r="23" spans="2:12" s="106" customFormat="1" ht="12" customHeight="1">
      <c r="B23" s="107"/>
      <c r="D23" s="101" t="s">
        <v>721</v>
      </c>
      <c r="I23" s="168" t="s">
        <v>709</v>
      </c>
      <c r="J23" s="102" t="s">
        <v>717</v>
      </c>
      <c r="L23" s="107"/>
    </row>
    <row r="24" spans="2:12" s="106" customFormat="1" ht="18" customHeight="1">
      <c r="B24" s="107"/>
      <c r="E24" s="102" t="s">
        <v>718</v>
      </c>
      <c r="I24" s="168" t="s">
        <v>712</v>
      </c>
      <c r="J24" s="102" t="s">
        <v>719</v>
      </c>
      <c r="L24" s="107"/>
    </row>
    <row r="25" spans="2:12" s="106" customFormat="1" ht="6.95" customHeight="1">
      <c r="B25" s="107"/>
      <c r="I25" s="167"/>
      <c r="L25" s="107"/>
    </row>
    <row r="26" spans="2:12" s="106" customFormat="1" ht="12" customHeight="1">
      <c r="B26" s="107"/>
      <c r="D26" s="101" t="s">
        <v>722</v>
      </c>
      <c r="I26" s="167"/>
      <c r="L26" s="107"/>
    </row>
    <row r="27" spans="2:12" s="170" customFormat="1" ht="16.5" customHeight="1">
      <c r="B27" s="171"/>
      <c r="E27" s="332" t="s">
        <v>25</v>
      </c>
      <c r="F27" s="332"/>
      <c r="G27" s="332"/>
      <c r="H27" s="332"/>
      <c r="I27" s="172"/>
      <c r="L27" s="171"/>
    </row>
    <row r="28" spans="2:12" s="106" customFormat="1" ht="6.95" customHeight="1">
      <c r="B28" s="107"/>
      <c r="I28" s="167"/>
      <c r="L28" s="107"/>
    </row>
    <row r="29" spans="2:12" s="106" customFormat="1" ht="6.95" customHeight="1">
      <c r="B29" s="107"/>
      <c r="D29" s="129"/>
      <c r="E29" s="129"/>
      <c r="F29" s="129"/>
      <c r="G29" s="129"/>
      <c r="H29" s="129"/>
      <c r="I29" s="173"/>
      <c r="J29" s="129"/>
      <c r="K29" s="129"/>
      <c r="L29" s="107"/>
    </row>
    <row r="30" spans="2:12" s="106" customFormat="1" ht="25.35" customHeight="1">
      <c r="B30" s="107"/>
      <c r="D30" s="174" t="s">
        <v>723</v>
      </c>
      <c r="I30" s="167"/>
      <c r="J30" s="175">
        <f>ROUND(J122, 2)</f>
        <v>0</v>
      </c>
      <c r="L30" s="107"/>
    </row>
    <row r="31" spans="2:12" s="106" customFormat="1" ht="6.95" customHeight="1">
      <c r="B31" s="107"/>
      <c r="D31" s="129"/>
      <c r="E31" s="129"/>
      <c r="F31" s="129"/>
      <c r="G31" s="129"/>
      <c r="H31" s="129"/>
      <c r="I31" s="173"/>
      <c r="J31" s="129"/>
      <c r="K31" s="129"/>
      <c r="L31" s="107"/>
    </row>
    <row r="32" spans="2:12" s="106" customFormat="1" ht="14.45" customHeight="1">
      <c r="B32" s="107"/>
      <c r="F32" s="176" t="s">
        <v>725</v>
      </c>
      <c r="I32" s="177" t="s">
        <v>724</v>
      </c>
      <c r="J32" s="176" t="s">
        <v>726</v>
      </c>
      <c r="L32" s="107"/>
    </row>
    <row r="33" spans="2:12" s="106" customFormat="1" ht="14.45" customHeight="1">
      <c r="B33" s="107"/>
      <c r="D33" s="178" t="s">
        <v>727</v>
      </c>
      <c r="E33" s="101" t="s">
        <v>728</v>
      </c>
      <c r="F33" s="179">
        <f>ROUND((SUM(BE122:BE172)),  2)</f>
        <v>0</v>
      </c>
      <c r="I33" s="180">
        <v>0.21</v>
      </c>
      <c r="J33" s="179">
        <f>ROUND(((SUM(BE122:BE172))*I33),  2)</f>
        <v>0</v>
      </c>
      <c r="L33" s="107"/>
    </row>
    <row r="34" spans="2:12" s="106" customFormat="1" ht="14.45" customHeight="1">
      <c r="B34" s="107"/>
      <c r="E34" s="101" t="s">
        <v>729</v>
      </c>
      <c r="F34" s="179">
        <f>ROUND((SUM(BF122:BF172)),  2)</f>
        <v>0</v>
      </c>
      <c r="I34" s="180">
        <v>0.15</v>
      </c>
      <c r="J34" s="179">
        <f>ROUND(((SUM(BF122:BF172))*I34),  2)</f>
        <v>0</v>
      </c>
      <c r="L34" s="107"/>
    </row>
    <row r="35" spans="2:12" s="106" customFormat="1" ht="14.45" hidden="1" customHeight="1">
      <c r="B35" s="107"/>
      <c r="E35" s="101" t="s">
        <v>730</v>
      </c>
      <c r="F35" s="179">
        <f>ROUND((SUM(BG122:BG172)),  2)</f>
        <v>0</v>
      </c>
      <c r="I35" s="180">
        <v>0.21</v>
      </c>
      <c r="J35" s="179">
        <f>0</f>
        <v>0</v>
      </c>
      <c r="L35" s="107"/>
    </row>
    <row r="36" spans="2:12" s="106" customFormat="1" ht="14.45" hidden="1" customHeight="1">
      <c r="B36" s="107"/>
      <c r="E36" s="101" t="s">
        <v>731</v>
      </c>
      <c r="F36" s="179">
        <f>ROUND((SUM(BH122:BH172)),  2)</f>
        <v>0</v>
      </c>
      <c r="I36" s="180">
        <v>0.15</v>
      </c>
      <c r="J36" s="179">
        <f>0</f>
        <v>0</v>
      </c>
      <c r="L36" s="107"/>
    </row>
    <row r="37" spans="2:12" s="106" customFormat="1" ht="14.45" hidden="1" customHeight="1">
      <c r="B37" s="107"/>
      <c r="E37" s="101" t="s">
        <v>732</v>
      </c>
      <c r="F37" s="179">
        <f>ROUND((SUM(BI122:BI172)),  2)</f>
        <v>0</v>
      </c>
      <c r="I37" s="180">
        <v>0</v>
      </c>
      <c r="J37" s="179">
        <f>0</f>
        <v>0</v>
      </c>
      <c r="L37" s="107"/>
    </row>
    <row r="38" spans="2:12" s="106" customFormat="1" ht="6.95" customHeight="1">
      <c r="B38" s="107"/>
      <c r="I38" s="167"/>
      <c r="L38" s="107"/>
    </row>
    <row r="39" spans="2:12" s="106" customFormat="1" ht="25.35" customHeight="1">
      <c r="B39" s="107"/>
      <c r="C39" s="181"/>
      <c r="D39" s="182" t="s">
        <v>733</v>
      </c>
      <c r="E39" s="132"/>
      <c r="F39" s="132"/>
      <c r="G39" s="183" t="s">
        <v>734</v>
      </c>
      <c r="H39" s="184" t="s">
        <v>735</v>
      </c>
      <c r="I39" s="185"/>
      <c r="J39" s="186">
        <f>SUM(J30:J37)</f>
        <v>0</v>
      </c>
      <c r="K39" s="187"/>
      <c r="L39" s="107"/>
    </row>
    <row r="40" spans="2:12" s="106" customFormat="1" ht="14.45" customHeight="1">
      <c r="B40" s="107"/>
      <c r="I40" s="167"/>
      <c r="L40" s="107"/>
    </row>
    <row r="41" spans="2:12" ht="14.45" customHeight="1">
      <c r="B41" s="95"/>
      <c r="L41" s="95"/>
    </row>
    <row r="42" spans="2:12" ht="14.45" customHeight="1">
      <c r="B42" s="95"/>
      <c r="L42" s="95"/>
    </row>
    <row r="43" spans="2:12" ht="14.45" customHeight="1">
      <c r="B43" s="95"/>
      <c r="L43" s="95"/>
    </row>
    <row r="44" spans="2:12" ht="14.45" customHeight="1">
      <c r="B44" s="95"/>
      <c r="L44" s="95"/>
    </row>
    <row r="45" spans="2:12" ht="14.45" customHeight="1">
      <c r="B45" s="95"/>
      <c r="L45" s="95"/>
    </row>
    <row r="46" spans="2:12" ht="14.45" customHeight="1">
      <c r="B46" s="95"/>
      <c r="L46" s="95"/>
    </row>
    <row r="47" spans="2:12" ht="14.45" customHeight="1">
      <c r="B47" s="95"/>
      <c r="L47" s="95"/>
    </row>
    <row r="48" spans="2:12" ht="14.45" customHeight="1">
      <c r="B48" s="95"/>
      <c r="L48" s="95"/>
    </row>
    <row r="49" spans="2:12" ht="14.45" customHeight="1">
      <c r="B49" s="95"/>
      <c r="L49" s="95"/>
    </row>
    <row r="50" spans="2:12" s="106" customFormat="1" ht="14.45" customHeight="1">
      <c r="B50" s="107"/>
      <c r="D50" s="116" t="s">
        <v>736</v>
      </c>
      <c r="E50" s="117"/>
      <c r="F50" s="117"/>
      <c r="G50" s="116" t="s">
        <v>737</v>
      </c>
      <c r="H50" s="117"/>
      <c r="I50" s="188"/>
      <c r="J50" s="117"/>
      <c r="K50" s="117"/>
      <c r="L50" s="107"/>
    </row>
    <row r="51" spans="2:12">
      <c r="B51" s="95"/>
      <c r="L51" s="95"/>
    </row>
    <row r="52" spans="2:12">
      <c r="B52" s="95"/>
      <c r="L52" s="95"/>
    </row>
    <row r="53" spans="2:12">
      <c r="B53" s="95"/>
      <c r="L53" s="95"/>
    </row>
    <row r="54" spans="2:12">
      <c r="B54" s="95"/>
      <c r="L54" s="95"/>
    </row>
    <row r="55" spans="2:12">
      <c r="B55" s="95"/>
      <c r="L55" s="95"/>
    </row>
    <row r="56" spans="2:12">
      <c r="B56" s="95"/>
      <c r="L56" s="95"/>
    </row>
    <row r="57" spans="2:12">
      <c r="B57" s="95"/>
      <c r="L57" s="95"/>
    </row>
    <row r="58" spans="2:12">
      <c r="B58" s="95"/>
      <c r="L58" s="95"/>
    </row>
    <row r="59" spans="2:12">
      <c r="B59" s="95"/>
      <c r="L59" s="95"/>
    </row>
    <row r="60" spans="2:12">
      <c r="B60" s="95"/>
      <c r="L60" s="95"/>
    </row>
    <row r="61" spans="2:12" s="106" customFormat="1" ht="12.75">
      <c r="B61" s="107"/>
      <c r="D61" s="118" t="s">
        <v>738</v>
      </c>
      <c r="E61" s="109"/>
      <c r="F61" s="189" t="s">
        <v>739</v>
      </c>
      <c r="G61" s="118" t="s">
        <v>738</v>
      </c>
      <c r="H61" s="109"/>
      <c r="I61" s="190"/>
      <c r="J61" s="191" t="s">
        <v>739</v>
      </c>
      <c r="K61" s="109"/>
      <c r="L61" s="107"/>
    </row>
    <row r="62" spans="2:12">
      <c r="B62" s="95"/>
      <c r="L62" s="95"/>
    </row>
    <row r="63" spans="2:12">
      <c r="B63" s="95"/>
      <c r="L63" s="95"/>
    </row>
    <row r="64" spans="2:12">
      <c r="B64" s="95"/>
      <c r="L64" s="95"/>
    </row>
    <row r="65" spans="2:12" s="106" customFormat="1" ht="12.75">
      <c r="B65" s="107"/>
      <c r="D65" s="116" t="s">
        <v>740</v>
      </c>
      <c r="E65" s="117"/>
      <c r="F65" s="117"/>
      <c r="G65" s="116" t="s">
        <v>741</v>
      </c>
      <c r="H65" s="117"/>
      <c r="I65" s="188"/>
      <c r="J65" s="117"/>
      <c r="K65" s="117"/>
      <c r="L65" s="107"/>
    </row>
    <row r="66" spans="2:12">
      <c r="B66" s="95"/>
      <c r="L66" s="95"/>
    </row>
    <row r="67" spans="2:12">
      <c r="B67" s="95"/>
      <c r="L67" s="95"/>
    </row>
    <row r="68" spans="2:12">
      <c r="B68" s="95"/>
      <c r="L68" s="95"/>
    </row>
    <row r="69" spans="2:12">
      <c r="B69" s="95"/>
      <c r="L69" s="95"/>
    </row>
    <row r="70" spans="2:12">
      <c r="B70" s="95"/>
      <c r="L70" s="95"/>
    </row>
    <row r="71" spans="2:12">
      <c r="B71" s="95"/>
      <c r="L71" s="95"/>
    </row>
    <row r="72" spans="2:12">
      <c r="B72" s="95"/>
      <c r="L72" s="95"/>
    </row>
    <row r="73" spans="2:12">
      <c r="B73" s="95"/>
      <c r="L73" s="95"/>
    </row>
    <row r="74" spans="2:12">
      <c r="B74" s="95"/>
      <c r="L74" s="95"/>
    </row>
    <row r="75" spans="2:12">
      <c r="B75" s="95"/>
      <c r="L75" s="95"/>
    </row>
    <row r="76" spans="2:12" s="106" customFormat="1" ht="12.75">
      <c r="B76" s="107"/>
      <c r="D76" s="118" t="s">
        <v>738</v>
      </c>
      <c r="E76" s="109"/>
      <c r="F76" s="189" t="s">
        <v>739</v>
      </c>
      <c r="G76" s="118" t="s">
        <v>738</v>
      </c>
      <c r="H76" s="109"/>
      <c r="I76" s="190"/>
      <c r="J76" s="191" t="s">
        <v>739</v>
      </c>
      <c r="K76" s="109"/>
      <c r="L76" s="107"/>
    </row>
    <row r="77" spans="2:12" s="106" customFormat="1" ht="14.45" customHeight="1">
      <c r="B77" s="119"/>
      <c r="C77" s="120"/>
      <c r="D77" s="120"/>
      <c r="E77" s="120"/>
      <c r="F77" s="120"/>
      <c r="G77" s="120"/>
      <c r="H77" s="120"/>
      <c r="I77" s="192"/>
      <c r="J77" s="120"/>
      <c r="K77" s="120"/>
      <c r="L77" s="107"/>
    </row>
    <row r="81" spans="2:47" s="106" customFormat="1" ht="6.95" customHeight="1">
      <c r="B81" s="121"/>
      <c r="C81" s="122"/>
      <c r="D81" s="122"/>
      <c r="E81" s="122"/>
      <c r="F81" s="122"/>
      <c r="G81" s="122"/>
      <c r="H81" s="122"/>
      <c r="I81" s="193"/>
      <c r="J81" s="122"/>
      <c r="K81" s="122"/>
      <c r="L81" s="107"/>
    </row>
    <row r="82" spans="2:47" s="106" customFormat="1" ht="24.95" customHeight="1">
      <c r="B82" s="107"/>
      <c r="C82" s="96" t="s">
        <v>779</v>
      </c>
      <c r="I82" s="167"/>
      <c r="L82" s="107"/>
    </row>
    <row r="83" spans="2:47" s="106" customFormat="1" ht="6.95" customHeight="1">
      <c r="B83" s="107"/>
      <c r="I83" s="167"/>
      <c r="L83" s="107"/>
    </row>
    <row r="84" spans="2:47" s="106" customFormat="1" ht="12" customHeight="1">
      <c r="B84" s="107"/>
      <c r="C84" s="101" t="s">
        <v>700</v>
      </c>
      <c r="I84" s="167"/>
      <c r="L84" s="107"/>
    </row>
    <row r="85" spans="2:47" s="106" customFormat="1" ht="16.5" customHeight="1">
      <c r="B85" s="107"/>
      <c r="E85" s="337" t="str">
        <f>E7</f>
        <v>Lávka přes Labe v Nymburce - terénní a vegetační úpravy</v>
      </c>
      <c r="F85" s="338"/>
      <c r="G85" s="338"/>
      <c r="H85" s="338"/>
      <c r="I85" s="167"/>
      <c r="L85" s="107"/>
    </row>
    <row r="86" spans="2:47" s="106" customFormat="1" ht="12" customHeight="1">
      <c r="B86" s="107"/>
      <c r="C86" s="101" t="s">
        <v>777</v>
      </c>
      <c r="I86" s="167"/>
      <c r="L86" s="107"/>
    </row>
    <row r="87" spans="2:47" s="106" customFormat="1" ht="16.5" customHeight="1">
      <c r="B87" s="107"/>
      <c r="E87" s="315" t="str">
        <f>E9</f>
        <v>SO 801.1.2 - Příprava ploch pro založení vegetace</v>
      </c>
      <c r="F87" s="336"/>
      <c r="G87" s="336"/>
      <c r="H87" s="336"/>
      <c r="I87" s="167"/>
      <c r="L87" s="107"/>
    </row>
    <row r="88" spans="2:47" s="106" customFormat="1" ht="6.95" customHeight="1">
      <c r="B88" s="107"/>
      <c r="I88" s="167"/>
      <c r="L88" s="107"/>
    </row>
    <row r="89" spans="2:47" s="106" customFormat="1" ht="12" customHeight="1">
      <c r="B89" s="107"/>
      <c r="C89" s="101" t="s">
        <v>704</v>
      </c>
      <c r="F89" s="102" t="str">
        <f>F12</f>
        <v xml:space="preserve">Lávka </v>
      </c>
      <c r="I89" s="168" t="s">
        <v>706</v>
      </c>
      <c r="J89" s="169" t="str">
        <f>IF(J12="","",J12)</f>
        <v>21. 11. 2019</v>
      </c>
      <c r="L89" s="107"/>
    </row>
    <row r="90" spans="2:47" s="106" customFormat="1" ht="6.95" customHeight="1">
      <c r="B90" s="107"/>
      <c r="I90" s="167"/>
      <c r="L90" s="107"/>
    </row>
    <row r="91" spans="2:47" s="106" customFormat="1" ht="25.7" customHeight="1">
      <c r="B91" s="107"/>
      <c r="C91" s="101" t="s">
        <v>708</v>
      </c>
      <c r="F91" s="102" t="str">
        <f>E15</f>
        <v>Město Nymburk</v>
      </c>
      <c r="I91" s="168" t="s">
        <v>716</v>
      </c>
      <c r="J91" s="194" t="str">
        <f>E21</f>
        <v>Ing. Gabriela Mlatečková Čížková</v>
      </c>
      <c r="L91" s="107"/>
    </row>
    <row r="92" spans="2:47" s="106" customFormat="1" ht="25.7" customHeight="1">
      <c r="B92" s="107"/>
      <c r="C92" s="101" t="s">
        <v>714</v>
      </c>
      <c r="F92" s="102" t="str">
        <f>IF(E18="","",E18)</f>
        <v>Vyplň údaj</v>
      </c>
      <c r="I92" s="168" t="s">
        <v>721</v>
      </c>
      <c r="J92" s="194" t="str">
        <f>E24</f>
        <v>Ing. Gabriela Mlatečková Čížková</v>
      </c>
      <c r="L92" s="107"/>
    </row>
    <row r="93" spans="2:47" s="106" customFormat="1" ht="10.35" customHeight="1">
      <c r="B93" s="107"/>
      <c r="I93" s="167"/>
      <c r="L93" s="107"/>
    </row>
    <row r="94" spans="2:47" s="106" customFormat="1" ht="29.25" customHeight="1">
      <c r="B94" s="107"/>
      <c r="C94" s="195" t="s">
        <v>780</v>
      </c>
      <c r="D94" s="181"/>
      <c r="E94" s="181"/>
      <c r="F94" s="181"/>
      <c r="G94" s="181"/>
      <c r="H94" s="181"/>
      <c r="I94" s="196"/>
      <c r="J94" s="197" t="s">
        <v>781</v>
      </c>
      <c r="K94" s="181"/>
      <c r="L94" s="107"/>
    </row>
    <row r="95" spans="2:47" s="106" customFormat="1" ht="10.35" customHeight="1">
      <c r="B95" s="107"/>
      <c r="I95" s="167"/>
      <c r="L95" s="107"/>
    </row>
    <row r="96" spans="2:47" s="106" customFormat="1" ht="22.9" customHeight="1">
      <c r="B96" s="107"/>
      <c r="C96" s="198" t="s">
        <v>782</v>
      </c>
      <c r="I96" s="167"/>
      <c r="J96" s="175">
        <f>J122</f>
        <v>0</v>
      </c>
      <c r="L96" s="107"/>
      <c r="AU96" s="92" t="s">
        <v>783</v>
      </c>
    </row>
    <row r="97" spans="2:12" s="199" customFormat="1" ht="24.95" customHeight="1">
      <c r="B97" s="200"/>
      <c r="D97" s="201" t="s">
        <v>825</v>
      </c>
      <c r="E97" s="202"/>
      <c r="F97" s="202"/>
      <c r="G97" s="202"/>
      <c r="H97" s="202"/>
      <c r="I97" s="203"/>
      <c r="J97" s="204">
        <f>J123</f>
        <v>0</v>
      </c>
      <c r="L97" s="200"/>
    </row>
    <row r="98" spans="2:12" s="205" customFormat="1" ht="19.899999999999999" customHeight="1">
      <c r="B98" s="206"/>
      <c r="D98" s="207" t="s">
        <v>826</v>
      </c>
      <c r="E98" s="208"/>
      <c r="F98" s="208"/>
      <c r="G98" s="208"/>
      <c r="H98" s="208"/>
      <c r="I98" s="209"/>
      <c r="J98" s="210">
        <f>J124</f>
        <v>0</v>
      </c>
      <c r="L98" s="206"/>
    </row>
    <row r="99" spans="2:12" s="205" customFormat="1" ht="19.899999999999999" customHeight="1">
      <c r="B99" s="206"/>
      <c r="D99" s="207" t="s">
        <v>827</v>
      </c>
      <c r="E99" s="208"/>
      <c r="F99" s="208"/>
      <c r="G99" s="208"/>
      <c r="H99" s="208"/>
      <c r="I99" s="209"/>
      <c r="J99" s="210">
        <f>J144</f>
        <v>0</v>
      </c>
      <c r="L99" s="206"/>
    </row>
    <row r="100" spans="2:12" s="205" customFormat="1" ht="19.899999999999999" customHeight="1">
      <c r="B100" s="206"/>
      <c r="D100" s="207" t="s">
        <v>828</v>
      </c>
      <c r="E100" s="208"/>
      <c r="F100" s="208"/>
      <c r="G100" s="208"/>
      <c r="H100" s="208"/>
      <c r="I100" s="209"/>
      <c r="J100" s="210">
        <f>J158</f>
        <v>0</v>
      </c>
      <c r="L100" s="206"/>
    </row>
    <row r="101" spans="2:12" s="199" customFormat="1" ht="24.95" customHeight="1">
      <c r="B101" s="200"/>
      <c r="D101" s="201" t="s">
        <v>786</v>
      </c>
      <c r="E101" s="202"/>
      <c r="F101" s="202"/>
      <c r="G101" s="202"/>
      <c r="H101" s="202"/>
      <c r="I101" s="203"/>
      <c r="J101" s="204">
        <f>J169</f>
        <v>0</v>
      </c>
      <c r="L101" s="200"/>
    </row>
    <row r="102" spans="2:12" s="205" customFormat="1" ht="19.899999999999999" customHeight="1">
      <c r="B102" s="206"/>
      <c r="D102" s="207" t="s">
        <v>787</v>
      </c>
      <c r="E102" s="208"/>
      <c r="F102" s="208"/>
      <c r="G102" s="208"/>
      <c r="H102" s="208"/>
      <c r="I102" s="209"/>
      <c r="J102" s="210">
        <f>J170</f>
        <v>0</v>
      </c>
      <c r="L102" s="206"/>
    </row>
    <row r="103" spans="2:12" s="106" customFormat="1" ht="21.75" customHeight="1">
      <c r="B103" s="107"/>
      <c r="I103" s="167"/>
      <c r="L103" s="107"/>
    </row>
    <row r="104" spans="2:12" s="106" customFormat="1" ht="6.95" customHeight="1">
      <c r="B104" s="119"/>
      <c r="C104" s="120"/>
      <c r="D104" s="120"/>
      <c r="E104" s="120"/>
      <c r="F104" s="120"/>
      <c r="G104" s="120"/>
      <c r="H104" s="120"/>
      <c r="I104" s="192"/>
      <c r="J104" s="120"/>
      <c r="K104" s="120"/>
      <c r="L104" s="107"/>
    </row>
    <row r="108" spans="2:12" s="106" customFormat="1" ht="6.95" customHeight="1">
      <c r="B108" s="121"/>
      <c r="C108" s="122"/>
      <c r="D108" s="122"/>
      <c r="E108" s="122"/>
      <c r="F108" s="122"/>
      <c r="G108" s="122"/>
      <c r="H108" s="122"/>
      <c r="I108" s="193"/>
      <c r="J108" s="122"/>
      <c r="K108" s="122"/>
      <c r="L108" s="107"/>
    </row>
    <row r="109" spans="2:12" s="106" customFormat="1" ht="24.95" customHeight="1">
      <c r="B109" s="107"/>
      <c r="C109" s="96" t="s">
        <v>1</v>
      </c>
      <c r="I109" s="167"/>
      <c r="L109" s="107"/>
    </row>
    <row r="110" spans="2:12" s="106" customFormat="1" ht="6.95" customHeight="1">
      <c r="B110" s="107"/>
      <c r="I110" s="167"/>
      <c r="L110" s="107"/>
    </row>
    <row r="111" spans="2:12" s="106" customFormat="1" ht="12" customHeight="1">
      <c r="B111" s="107"/>
      <c r="C111" s="101" t="s">
        <v>700</v>
      </c>
      <c r="I111" s="167"/>
      <c r="L111" s="107"/>
    </row>
    <row r="112" spans="2:12" s="106" customFormat="1" ht="16.5" customHeight="1">
      <c r="B112" s="107"/>
      <c r="E112" s="337" t="str">
        <f>E7</f>
        <v>Lávka přes Labe v Nymburce - terénní a vegetační úpravy</v>
      </c>
      <c r="F112" s="338"/>
      <c r="G112" s="338"/>
      <c r="H112" s="338"/>
      <c r="I112" s="167"/>
      <c r="L112" s="107"/>
    </row>
    <row r="113" spans="2:65" s="106" customFormat="1" ht="12" customHeight="1">
      <c r="B113" s="107"/>
      <c r="C113" s="101" t="s">
        <v>777</v>
      </c>
      <c r="I113" s="167"/>
      <c r="L113" s="107"/>
    </row>
    <row r="114" spans="2:65" s="106" customFormat="1" ht="16.5" customHeight="1">
      <c r="B114" s="107"/>
      <c r="E114" s="315" t="str">
        <f>E9</f>
        <v>SO 801.1.2 - Příprava ploch pro založení vegetace</v>
      </c>
      <c r="F114" s="336"/>
      <c r="G114" s="336"/>
      <c r="H114" s="336"/>
      <c r="I114" s="167"/>
      <c r="L114" s="107"/>
    </row>
    <row r="115" spans="2:65" s="106" customFormat="1" ht="6.95" customHeight="1">
      <c r="B115" s="107"/>
      <c r="I115" s="167"/>
      <c r="L115" s="107"/>
    </row>
    <row r="116" spans="2:65" s="106" customFormat="1" ht="12" customHeight="1">
      <c r="B116" s="107"/>
      <c r="C116" s="101" t="s">
        <v>704</v>
      </c>
      <c r="F116" s="102" t="str">
        <f>F12</f>
        <v xml:space="preserve">Lávka </v>
      </c>
      <c r="I116" s="168" t="s">
        <v>706</v>
      </c>
      <c r="J116" s="169" t="str">
        <f>IF(J12="","",J12)</f>
        <v>21. 11. 2019</v>
      </c>
      <c r="L116" s="107"/>
    </row>
    <row r="117" spans="2:65" s="106" customFormat="1" ht="6.95" customHeight="1">
      <c r="B117" s="107"/>
      <c r="I117" s="167"/>
      <c r="L117" s="107"/>
    </row>
    <row r="118" spans="2:65" s="106" customFormat="1" ht="25.7" customHeight="1">
      <c r="B118" s="107"/>
      <c r="C118" s="101" t="s">
        <v>708</v>
      </c>
      <c r="F118" s="102" t="str">
        <f>E15</f>
        <v>Město Nymburk</v>
      </c>
      <c r="I118" s="168" t="s">
        <v>716</v>
      </c>
      <c r="J118" s="194" t="str">
        <f>E21</f>
        <v>Ing. Gabriela Mlatečková Čížková</v>
      </c>
      <c r="L118" s="107"/>
    </row>
    <row r="119" spans="2:65" s="106" customFormat="1" ht="25.7" customHeight="1">
      <c r="B119" s="107"/>
      <c r="C119" s="101" t="s">
        <v>714</v>
      </c>
      <c r="F119" s="102" t="str">
        <f>IF(E18="","",E18)</f>
        <v>Vyplň údaj</v>
      </c>
      <c r="I119" s="168" t="s">
        <v>721</v>
      </c>
      <c r="J119" s="194" t="str">
        <f>E24</f>
        <v>Ing. Gabriela Mlatečková Čížková</v>
      </c>
      <c r="L119" s="107"/>
    </row>
    <row r="120" spans="2:65" s="106" customFormat="1" ht="10.35" customHeight="1">
      <c r="B120" s="107"/>
      <c r="I120" s="167"/>
      <c r="L120" s="107"/>
    </row>
    <row r="121" spans="2:65" s="211" customFormat="1" ht="29.25" customHeight="1">
      <c r="B121" s="212"/>
      <c r="C121" s="213" t="s">
        <v>788</v>
      </c>
      <c r="D121" s="214" t="s">
        <v>746</v>
      </c>
      <c r="E121" s="214" t="s">
        <v>11</v>
      </c>
      <c r="F121" s="214" t="s">
        <v>502</v>
      </c>
      <c r="G121" s="214" t="s">
        <v>18</v>
      </c>
      <c r="H121" s="214" t="s">
        <v>537</v>
      </c>
      <c r="I121" s="215" t="s">
        <v>789</v>
      </c>
      <c r="J121" s="214" t="s">
        <v>781</v>
      </c>
      <c r="K121" s="216" t="s">
        <v>790</v>
      </c>
      <c r="L121" s="212"/>
      <c r="M121" s="134" t="s">
        <v>25</v>
      </c>
      <c r="N121" s="135" t="s">
        <v>727</v>
      </c>
      <c r="O121" s="135" t="s">
        <v>791</v>
      </c>
      <c r="P121" s="135" t="s">
        <v>792</v>
      </c>
      <c r="Q121" s="135" t="s">
        <v>793</v>
      </c>
      <c r="R121" s="135" t="s">
        <v>794</v>
      </c>
      <c r="S121" s="135" t="s">
        <v>795</v>
      </c>
      <c r="T121" s="136" t="s">
        <v>796</v>
      </c>
    </row>
    <row r="122" spans="2:65" s="106" customFormat="1" ht="22.9" customHeight="1">
      <c r="B122" s="107"/>
      <c r="C122" s="140" t="s">
        <v>797</v>
      </c>
      <c r="I122" s="167"/>
      <c r="J122" s="217">
        <f>BK122</f>
        <v>0</v>
      </c>
      <c r="L122" s="107"/>
      <c r="M122" s="137"/>
      <c r="N122" s="129"/>
      <c r="O122" s="129"/>
      <c r="P122" s="218">
        <f>P123+P169</f>
        <v>0</v>
      </c>
      <c r="Q122" s="129"/>
      <c r="R122" s="218">
        <f>R123+R169</f>
        <v>6.2325999999999997</v>
      </c>
      <c r="S122" s="129"/>
      <c r="T122" s="219">
        <f>T123+T169</f>
        <v>0</v>
      </c>
      <c r="AT122" s="92" t="s">
        <v>549</v>
      </c>
      <c r="AU122" s="92" t="s">
        <v>783</v>
      </c>
      <c r="BK122" s="220">
        <f>BK123+BK169</f>
        <v>0</v>
      </c>
    </row>
    <row r="123" spans="2:65" s="221" customFormat="1" ht="25.9" customHeight="1">
      <c r="B123" s="222"/>
      <c r="D123" s="223" t="s">
        <v>549</v>
      </c>
      <c r="E123" s="224" t="s">
        <v>798</v>
      </c>
      <c r="F123" s="224" t="s">
        <v>829</v>
      </c>
      <c r="I123" s="225"/>
      <c r="J123" s="226">
        <f>BK123</f>
        <v>0</v>
      </c>
      <c r="L123" s="222"/>
      <c r="M123" s="227"/>
      <c r="P123" s="228">
        <f>P124+P144+P158</f>
        <v>0</v>
      </c>
      <c r="R123" s="228">
        <f>R124+R144+R158</f>
        <v>6.2325999999999997</v>
      </c>
      <c r="T123" s="229">
        <f>T124+T144+T158</f>
        <v>0</v>
      </c>
      <c r="AR123" s="223" t="s">
        <v>767</v>
      </c>
      <c r="AT123" s="230" t="s">
        <v>549</v>
      </c>
      <c r="AU123" s="230" t="s">
        <v>760</v>
      </c>
      <c r="AY123" s="223" t="s">
        <v>800</v>
      </c>
      <c r="BK123" s="231">
        <f>BK124+BK144+BK158</f>
        <v>0</v>
      </c>
    </row>
    <row r="124" spans="2:65" s="221" customFormat="1" ht="22.9" customHeight="1">
      <c r="B124" s="222"/>
      <c r="D124" s="223" t="s">
        <v>549</v>
      </c>
      <c r="E124" s="232" t="s">
        <v>767</v>
      </c>
      <c r="F124" s="232" t="s">
        <v>830</v>
      </c>
      <c r="I124" s="225"/>
      <c r="J124" s="233">
        <f>BK124</f>
        <v>0</v>
      </c>
      <c r="L124" s="222"/>
      <c r="M124" s="227"/>
      <c r="P124" s="228">
        <f>SUM(P125:P143)</f>
        <v>0</v>
      </c>
      <c r="R124" s="228">
        <f>SUM(R125:R143)</f>
        <v>6.0975999999999999</v>
      </c>
      <c r="T124" s="229">
        <f>SUM(T125:T143)</f>
        <v>0</v>
      </c>
      <c r="AR124" s="223" t="s">
        <v>767</v>
      </c>
      <c r="AT124" s="230" t="s">
        <v>549</v>
      </c>
      <c r="AU124" s="230" t="s">
        <v>767</v>
      </c>
      <c r="AY124" s="223" t="s">
        <v>800</v>
      </c>
      <c r="BK124" s="231">
        <f>SUM(BK125:BK143)</f>
        <v>0</v>
      </c>
    </row>
    <row r="125" spans="2:65" s="106" customFormat="1" ht="16.5" customHeight="1">
      <c r="B125" s="107"/>
      <c r="C125" s="234" t="s">
        <v>767</v>
      </c>
      <c r="D125" s="234" t="s">
        <v>556</v>
      </c>
      <c r="E125" s="235" t="s">
        <v>831</v>
      </c>
      <c r="F125" s="236" t="s">
        <v>832</v>
      </c>
      <c r="G125" s="237" t="s">
        <v>617</v>
      </c>
      <c r="H125" s="238">
        <v>296</v>
      </c>
      <c r="I125" s="239"/>
      <c r="J125" s="240">
        <f>ROUND(I125*H125,2)</f>
        <v>0</v>
      </c>
      <c r="K125" s="236" t="s">
        <v>805</v>
      </c>
      <c r="L125" s="107"/>
      <c r="M125" s="241" t="s">
        <v>25</v>
      </c>
      <c r="N125" s="242" t="s">
        <v>728</v>
      </c>
      <c r="P125" s="243">
        <f>O125*H125</f>
        <v>0</v>
      </c>
      <c r="Q125" s="243">
        <v>0</v>
      </c>
      <c r="R125" s="243">
        <f>Q125*H125</f>
        <v>0</v>
      </c>
      <c r="S125" s="243">
        <v>0</v>
      </c>
      <c r="T125" s="244">
        <f>S125*H125</f>
        <v>0</v>
      </c>
      <c r="AR125" s="245" t="s">
        <v>806</v>
      </c>
      <c r="AT125" s="245" t="s">
        <v>556</v>
      </c>
      <c r="AU125" s="245" t="s">
        <v>769</v>
      </c>
      <c r="AY125" s="92" t="s">
        <v>800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92" t="s">
        <v>767</v>
      </c>
      <c r="BK125" s="246">
        <f>ROUND(I125*H125,2)</f>
        <v>0</v>
      </c>
      <c r="BL125" s="92" t="s">
        <v>806</v>
      </c>
      <c r="BM125" s="245" t="s">
        <v>833</v>
      </c>
    </row>
    <row r="126" spans="2:65" s="106" customFormat="1">
      <c r="B126" s="107"/>
      <c r="D126" s="247" t="s">
        <v>808</v>
      </c>
      <c r="F126" s="248" t="s">
        <v>834</v>
      </c>
      <c r="I126" s="167"/>
      <c r="L126" s="107"/>
      <c r="M126" s="249"/>
      <c r="T126" s="131"/>
      <c r="AT126" s="92" t="s">
        <v>808</v>
      </c>
      <c r="AU126" s="92" t="s">
        <v>769</v>
      </c>
    </row>
    <row r="127" spans="2:65" s="260" customFormat="1">
      <c r="B127" s="261"/>
      <c r="D127" s="247" t="s">
        <v>815</v>
      </c>
      <c r="E127" s="262" t="s">
        <v>25</v>
      </c>
      <c r="F127" s="263" t="s">
        <v>835</v>
      </c>
      <c r="H127" s="264">
        <v>296</v>
      </c>
      <c r="I127" s="265"/>
      <c r="L127" s="261"/>
      <c r="M127" s="266"/>
      <c r="T127" s="267"/>
      <c r="AT127" s="262" t="s">
        <v>815</v>
      </c>
      <c r="AU127" s="262" t="s">
        <v>769</v>
      </c>
      <c r="AV127" s="260" t="s">
        <v>769</v>
      </c>
      <c r="AW127" s="260" t="s">
        <v>720</v>
      </c>
      <c r="AX127" s="260" t="s">
        <v>767</v>
      </c>
      <c r="AY127" s="262" t="s">
        <v>800</v>
      </c>
    </row>
    <row r="128" spans="2:65" s="106" customFormat="1" ht="16.5" customHeight="1">
      <c r="B128" s="107"/>
      <c r="C128" s="250" t="s">
        <v>806</v>
      </c>
      <c r="D128" s="250" t="s">
        <v>64</v>
      </c>
      <c r="E128" s="251" t="s">
        <v>836</v>
      </c>
      <c r="F128" s="252" t="s">
        <v>837</v>
      </c>
      <c r="G128" s="253" t="s">
        <v>620</v>
      </c>
      <c r="H128" s="254">
        <v>14.8</v>
      </c>
      <c r="I128" s="255"/>
      <c r="J128" s="256">
        <f>ROUND(I128*H128,2)</f>
        <v>0</v>
      </c>
      <c r="K128" s="252" t="s">
        <v>25</v>
      </c>
      <c r="L128" s="257"/>
      <c r="M128" s="258" t="s">
        <v>25</v>
      </c>
      <c r="N128" s="259" t="s">
        <v>728</v>
      </c>
      <c r="P128" s="243">
        <f>O128*H128</f>
        <v>0</v>
      </c>
      <c r="Q128" s="243">
        <v>0</v>
      </c>
      <c r="R128" s="243">
        <f>Q128*H128</f>
        <v>0</v>
      </c>
      <c r="S128" s="243">
        <v>0</v>
      </c>
      <c r="T128" s="244">
        <f>S128*H128</f>
        <v>0</v>
      </c>
      <c r="AR128" s="245" t="s">
        <v>812</v>
      </c>
      <c r="AT128" s="245" t="s">
        <v>64</v>
      </c>
      <c r="AU128" s="245" t="s">
        <v>769</v>
      </c>
      <c r="AY128" s="92" t="s">
        <v>800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92" t="s">
        <v>767</v>
      </c>
      <c r="BK128" s="246">
        <f>ROUND(I128*H128,2)</f>
        <v>0</v>
      </c>
      <c r="BL128" s="92" t="s">
        <v>806</v>
      </c>
      <c r="BM128" s="245" t="s">
        <v>838</v>
      </c>
    </row>
    <row r="129" spans="2:65" s="106" customFormat="1">
      <c r="B129" s="107"/>
      <c r="D129" s="247" t="s">
        <v>808</v>
      </c>
      <c r="F129" s="248" t="s">
        <v>839</v>
      </c>
      <c r="I129" s="167"/>
      <c r="L129" s="107"/>
      <c r="M129" s="249"/>
      <c r="T129" s="131"/>
      <c r="AT129" s="92" t="s">
        <v>808</v>
      </c>
      <c r="AU129" s="92" t="s">
        <v>769</v>
      </c>
    </row>
    <row r="130" spans="2:65" s="260" customFormat="1">
      <c r="B130" s="261"/>
      <c r="D130" s="247" t="s">
        <v>815</v>
      </c>
      <c r="E130" s="262" t="s">
        <v>25</v>
      </c>
      <c r="F130" s="263" t="s">
        <v>840</v>
      </c>
      <c r="H130" s="264">
        <v>14.8</v>
      </c>
      <c r="I130" s="265"/>
      <c r="L130" s="261"/>
      <c r="M130" s="266"/>
      <c r="T130" s="267"/>
      <c r="AT130" s="262" t="s">
        <v>815</v>
      </c>
      <c r="AU130" s="262" t="s">
        <v>769</v>
      </c>
      <c r="AV130" s="260" t="s">
        <v>769</v>
      </c>
      <c r="AW130" s="260" t="s">
        <v>720</v>
      </c>
      <c r="AX130" s="260" t="s">
        <v>767</v>
      </c>
      <c r="AY130" s="262" t="s">
        <v>800</v>
      </c>
    </row>
    <row r="131" spans="2:65" s="106" customFormat="1" ht="16.5" customHeight="1">
      <c r="B131" s="107"/>
      <c r="C131" s="234" t="s">
        <v>802</v>
      </c>
      <c r="D131" s="234" t="s">
        <v>556</v>
      </c>
      <c r="E131" s="235" t="s">
        <v>841</v>
      </c>
      <c r="F131" s="236" t="s">
        <v>842</v>
      </c>
      <c r="G131" s="237" t="s">
        <v>617</v>
      </c>
      <c r="H131" s="238">
        <v>296</v>
      </c>
      <c r="I131" s="239"/>
      <c r="J131" s="240">
        <f>ROUND(I131*H131,2)</f>
        <v>0</v>
      </c>
      <c r="K131" s="236" t="s">
        <v>805</v>
      </c>
      <c r="L131" s="107"/>
      <c r="M131" s="241" t="s">
        <v>25</v>
      </c>
      <c r="N131" s="242" t="s">
        <v>728</v>
      </c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AR131" s="245" t="s">
        <v>806</v>
      </c>
      <c r="AT131" s="245" t="s">
        <v>556</v>
      </c>
      <c r="AU131" s="245" t="s">
        <v>769</v>
      </c>
      <c r="AY131" s="92" t="s">
        <v>800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92" t="s">
        <v>767</v>
      </c>
      <c r="BK131" s="246">
        <f>ROUND(I131*H131,2)</f>
        <v>0</v>
      </c>
      <c r="BL131" s="92" t="s">
        <v>806</v>
      </c>
      <c r="BM131" s="245" t="s">
        <v>843</v>
      </c>
    </row>
    <row r="132" spans="2:65" s="106" customFormat="1">
      <c r="B132" s="107"/>
      <c r="D132" s="247" t="s">
        <v>808</v>
      </c>
      <c r="F132" s="248" t="s">
        <v>844</v>
      </c>
      <c r="I132" s="167"/>
      <c r="L132" s="107"/>
      <c r="M132" s="249"/>
      <c r="T132" s="131"/>
      <c r="AT132" s="92" t="s">
        <v>808</v>
      </c>
      <c r="AU132" s="92" t="s">
        <v>769</v>
      </c>
    </row>
    <row r="133" spans="2:65" s="106" customFormat="1" ht="16.5" customHeight="1">
      <c r="B133" s="107"/>
      <c r="C133" s="234" t="s">
        <v>845</v>
      </c>
      <c r="D133" s="234" t="s">
        <v>556</v>
      </c>
      <c r="E133" s="235" t="s">
        <v>846</v>
      </c>
      <c r="F133" s="236" t="s">
        <v>847</v>
      </c>
      <c r="G133" s="237" t="s">
        <v>617</v>
      </c>
      <c r="H133" s="238">
        <v>296</v>
      </c>
      <c r="I133" s="239"/>
      <c r="J133" s="240">
        <f>ROUND(I133*H133,2)</f>
        <v>0</v>
      </c>
      <c r="K133" s="236" t="s">
        <v>805</v>
      </c>
      <c r="L133" s="107"/>
      <c r="M133" s="241" t="s">
        <v>25</v>
      </c>
      <c r="N133" s="242" t="s">
        <v>728</v>
      </c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AR133" s="245" t="s">
        <v>806</v>
      </c>
      <c r="AT133" s="245" t="s">
        <v>556</v>
      </c>
      <c r="AU133" s="245" t="s">
        <v>769</v>
      </c>
      <c r="AY133" s="92" t="s">
        <v>800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92" t="s">
        <v>767</v>
      </c>
      <c r="BK133" s="246">
        <f>ROUND(I133*H133,2)</f>
        <v>0</v>
      </c>
      <c r="BL133" s="92" t="s">
        <v>806</v>
      </c>
      <c r="BM133" s="245" t="s">
        <v>848</v>
      </c>
    </row>
    <row r="134" spans="2:65" s="106" customFormat="1">
      <c r="B134" s="107"/>
      <c r="D134" s="247" t="s">
        <v>808</v>
      </c>
      <c r="F134" s="248" t="s">
        <v>849</v>
      </c>
      <c r="I134" s="167"/>
      <c r="L134" s="107"/>
      <c r="M134" s="249"/>
      <c r="T134" s="131"/>
      <c r="AT134" s="92" t="s">
        <v>808</v>
      </c>
      <c r="AU134" s="92" t="s">
        <v>769</v>
      </c>
    </row>
    <row r="135" spans="2:65" s="106" customFormat="1" ht="16.5" customHeight="1">
      <c r="B135" s="107"/>
      <c r="C135" s="234" t="s">
        <v>850</v>
      </c>
      <c r="D135" s="234" t="s">
        <v>556</v>
      </c>
      <c r="E135" s="235" t="s">
        <v>851</v>
      </c>
      <c r="F135" s="236" t="s">
        <v>852</v>
      </c>
      <c r="G135" s="237" t="s">
        <v>617</v>
      </c>
      <c r="H135" s="238">
        <v>296</v>
      </c>
      <c r="I135" s="239"/>
      <c r="J135" s="240">
        <f>ROUND(I135*H135,2)</f>
        <v>0</v>
      </c>
      <c r="K135" s="236" t="s">
        <v>805</v>
      </c>
      <c r="L135" s="107"/>
      <c r="M135" s="241" t="s">
        <v>25</v>
      </c>
      <c r="N135" s="242" t="s">
        <v>728</v>
      </c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AR135" s="245" t="s">
        <v>806</v>
      </c>
      <c r="AT135" s="245" t="s">
        <v>556</v>
      </c>
      <c r="AU135" s="245" t="s">
        <v>769</v>
      </c>
      <c r="AY135" s="92" t="s">
        <v>800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92" t="s">
        <v>767</v>
      </c>
      <c r="BK135" s="246">
        <f>ROUND(I135*H135,2)</f>
        <v>0</v>
      </c>
      <c r="BL135" s="92" t="s">
        <v>806</v>
      </c>
      <c r="BM135" s="245" t="s">
        <v>853</v>
      </c>
    </row>
    <row r="136" spans="2:65" s="106" customFormat="1" ht="19.5">
      <c r="B136" s="107"/>
      <c r="D136" s="247" t="s">
        <v>808</v>
      </c>
      <c r="F136" s="248" t="s">
        <v>854</v>
      </c>
      <c r="I136" s="167"/>
      <c r="L136" s="107"/>
      <c r="M136" s="249"/>
      <c r="T136" s="131"/>
      <c r="AT136" s="92" t="s">
        <v>808</v>
      </c>
      <c r="AU136" s="92" t="s">
        <v>769</v>
      </c>
    </row>
    <row r="137" spans="2:65" s="106" customFormat="1" ht="16.5" customHeight="1">
      <c r="B137" s="107"/>
      <c r="C137" s="234" t="s">
        <v>692</v>
      </c>
      <c r="D137" s="234" t="s">
        <v>556</v>
      </c>
      <c r="E137" s="235" t="s">
        <v>851</v>
      </c>
      <c r="F137" s="236" t="s">
        <v>852</v>
      </c>
      <c r="G137" s="237" t="s">
        <v>617</v>
      </c>
      <c r="H137" s="238">
        <v>296</v>
      </c>
      <c r="I137" s="239"/>
      <c r="J137" s="240">
        <f>ROUND(I137*H137,2)</f>
        <v>0</v>
      </c>
      <c r="K137" s="236" t="s">
        <v>805</v>
      </c>
      <c r="L137" s="107"/>
      <c r="M137" s="241" t="s">
        <v>25</v>
      </c>
      <c r="N137" s="242" t="s">
        <v>728</v>
      </c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AR137" s="245" t="s">
        <v>806</v>
      </c>
      <c r="AT137" s="245" t="s">
        <v>556</v>
      </c>
      <c r="AU137" s="245" t="s">
        <v>769</v>
      </c>
      <c r="AY137" s="92" t="s">
        <v>800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92" t="s">
        <v>767</v>
      </c>
      <c r="BK137" s="246">
        <f>ROUND(I137*H137,2)</f>
        <v>0</v>
      </c>
      <c r="BL137" s="92" t="s">
        <v>806</v>
      </c>
      <c r="BM137" s="245" t="s">
        <v>855</v>
      </c>
    </row>
    <row r="138" spans="2:65" s="106" customFormat="1" ht="19.5">
      <c r="B138" s="107"/>
      <c r="D138" s="247" t="s">
        <v>808</v>
      </c>
      <c r="F138" s="248" t="s">
        <v>854</v>
      </c>
      <c r="I138" s="167"/>
      <c r="L138" s="107"/>
      <c r="M138" s="249"/>
      <c r="T138" s="131"/>
      <c r="AT138" s="92" t="s">
        <v>808</v>
      </c>
      <c r="AU138" s="92" t="s">
        <v>769</v>
      </c>
    </row>
    <row r="139" spans="2:65" s="106" customFormat="1" ht="16.5" customHeight="1">
      <c r="B139" s="107"/>
      <c r="C139" s="234" t="s">
        <v>856</v>
      </c>
      <c r="D139" s="234" t="s">
        <v>556</v>
      </c>
      <c r="E139" s="235" t="s">
        <v>857</v>
      </c>
      <c r="F139" s="236" t="s">
        <v>858</v>
      </c>
      <c r="G139" s="237" t="s">
        <v>617</v>
      </c>
      <c r="H139" s="238">
        <v>296</v>
      </c>
      <c r="I139" s="239"/>
      <c r="J139" s="240">
        <f>ROUND(I139*H139,2)</f>
        <v>0</v>
      </c>
      <c r="K139" s="236" t="s">
        <v>805</v>
      </c>
      <c r="L139" s="107"/>
      <c r="M139" s="241" t="s">
        <v>25</v>
      </c>
      <c r="N139" s="242" t="s">
        <v>728</v>
      </c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AR139" s="245" t="s">
        <v>806</v>
      </c>
      <c r="AT139" s="245" t="s">
        <v>556</v>
      </c>
      <c r="AU139" s="245" t="s">
        <v>769</v>
      </c>
      <c r="AY139" s="92" t="s">
        <v>800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92" t="s">
        <v>767</v>
      </c>
      <c r="BK139" s="246">
        <f>ROUND(I139*H139,2)</f>
        <v>0</v>
      </c>
      <c r="BL139" s="92" t="s">
        <v>806</v>
      </c>
      <c r="BM139" s="245" t="s">
        <v>859</v>
      </c>
    </row>
    <row r="140" spans="2:65" s="106" customFormat="1">
      <c r="B140" s="107"/>
      <c r="D140" s="247" t="s">
        <v>808</v>
      </c>
      <c r="F140" s="248" t="s">
        <v>860</v>
      </c>
      <c r="I140" s="167"/>
      <c r="L140" s="107"/>
      <c r="M140" s="249"/>
      <c r="T140" s="131"/>
      <c r="AT140" s="92" t="s">
        <v>808</v>
      </c>
      <c r="AU140" s="92" t="s">
        <v>769</v>
      </c>
    </row>
    <row r="141" spans="2:65" s="106" customFormat="1" ht="16.5" customHeight="1">
      <c r="B141" s="107"/>
      <c r="C141" s="250" t="s">
        <v>861</v>
      </c>
      <c r="D141" s="250" t="s">
        <v>64</v>
      </c>
      <c r="E141" s="251" t="s">
        <v>862</v>
      </c>
      <c r="F141" s="252" t="s">
        <v>863</v>
      </c>
      <c r="G141" s="253" t="s">
        <v>620</v>
      </c>
      <c r="H141" s="254">
        <v>30.488</v>
      </c>
      <c r="I141" s="255"/>
      <c r="J141" s="256">
        <f>ROUND(I141*H141,2)</f>
        <v>0</v>
      </c>
      <c r="K141" s="252" t="s">
        <v>805</v>
      </c>
      <c r="L141" s="257"/>
      <c r="M141" s="258" t="s">
        <v>25</v>
      </c>
      <c r="N141" s="259" t="s">
        <v>728</v>
      </c>
      <c r="P141" s="243">
        <f>O141*H141</f>
        <v>0</v>
      </c>
      <c r="Q141" s="243">
        <v>0.2</v>
      </c>
      <c r="R141" s="243">
        <f>Q141*H141</f>
        <v>6.0975999999999999</v>
      </c>
      <c r="S141" s="243">
        <v>0</v>
      </c>
      <c r="T141" s="244">
        <f>S141*H141</f>
        <v>0</v>
      </c>
      <c r="AR141" s="245" t="s">
        <v>812</v>
      </c>
      <c r="AT141" s="245" t="s">
        <v>64</v>
      </c>
      <c r="AU141" s="245" t="s">
        <v>769</v>
      </c>
      <c r="AY141" s="92" t="s">
        <v>800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92" t="s">
        <v>767</v>
      </c>
      <c r="BK141" s="246">
        <f>ROUND(I141*H141,2)</f>
        <v>0</v>
      </c>
      <c r="BL141" s="92" t="s">
        <v>806</v>
      </c>
      <c r="BM141" s="245" t="s">
        <v>864</v>
      </c>
    </row>
    <row r="142" spans="2:65" s="106" customFormat="1">
      <c r="B142" s="107"/>
      <c r="D142" s="247" t="s">
        <v>808</v>
      </c>
      <c r="F142" s="248" t="s">
        <v>865</v>
      </c>
      <c r="I142" s="167"/>
      <c r="L142" s="107"/>
      <c r="M142" s="249"/>
      <c r="T142" s="131"/>
      <c r="AT142" s="92" t="s">
        <v>808</v>
      </c>
      <c r="AU142" s="92" t="s">
        <v>769</v>
      </c>
    </row>
    <row r="143" spans="2:65" s="260" customFormat="1">
      <c r="B143" s="261"/>
      <c r="D143" s="247" t="s">
        <v>815</v>
      </c>
      <c r="F143" s="263" t="s">
        <v>866</v>
      </c>
      <c r="H143" s="264">
        <v>30.488</v>
      </c>
      <c r="I143" s="265"/>
      <c r="L143" s="261"/>
      <c r="M143" s="266"/>
      <c r="T143" s="267"/>
      <c r="AT143" s="262" t="s">
        <v>815</v>
      </c>
      <c r="AU143" s="262" t="s">
        <v>769</v>
      </c>
      <c r="AV143" s="260" t="s">
        <v>769</v>
      </c>
      <c r="AW143" s="260" t="s">
        <v>688</v>
      </c>
      <c r="AX143" s="260" t="s">
        <v>767</v>
      </c>
      <c r="AY143" s="262" t="s">
        <v>800</v>
      </c>
    </row>
    <row r="144" spans="2:65" s="221" customFormat="1" ht="22.9" customHeight="1">
      <c r="B144" s="222"/>
      <c r="D144" s="223" t="s">
        <v>549</v>
      </c>
      <c r="E144" s="232" t="s">
        <v>769</v>
      </c>
      <c r="F144" s="232" t="s">
        <v>867</v>
      </c>
      <c r="I144" s="225"/>
      <c r="J144" s="233">
        <f>BK144</f>
        <v>0</v>
      </c>
      <c r="L144" s="222"/>
      <c r="M144" s="227"/>
      <c r="P144" s="228">
        <f>SUM(P145:P157)</f>
        <v>0</v>
      </c>
      <c r="R144" s="228">
        <f>SUM(R145:R157)</f>
        <v>0</v>
      </c>
      <c r="T144" s="229">
        <f>SUM(T145:T157)</f>
        <v>0</v>
      </c>
      <c r="AR144" s="223" t="s">
        <v>767</v>
      </c>
      <c r="AT144" s="230" t="s">
        <v>549</v>
      </c>
      <c r="AU144" s="230" t="s">
        <v>767</v>
      </c>
      <c r="AY144" s="223" t="s">
        <v>800</v>
      </c>
      <c r="BK144" s="231">
        <f>SUM(BK145:BK157)</f>
        <v>0</v>
      </c>
    </row>
    <row r="145" spans="2:65" s="106" customFormat="1" ht="16.5" customHeight="1">
      <c r="B145" s="107"/>
      <c r="C145" s="234" t="s">
        <v>868</v>
      </c>
      <c r="D145" s="234" t="s">
        <v>556</v>
      </c>
      <c r="E145" s="235" t="s">
        <v>869</v>
      </c>
      <c r="F145" s="236" t="s">
        <v>870</v>
      </c>
      <c r="G145" s="237" t="s">
        <v>617</v>
      </c>
      <c r="H145" s="238">
        <v>58</v>
      </c>
      <c r="I145" s="239"/>
      <c r="J145" s="240">
        <f>ROUND(I145*H145,2)</f>
        <v>0</v>
      </c>
      <c r="K145" s="236" t="s">
        <v>25</v>
      </c>
      <c r="L145" s="107"/>
      <c r="M145" s="241" t="s">
        <v>25</v>
      </c>
      <c r="N145" s="242" t="s">
        <v>728</v>
      </c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AR145" s="245" t="s">
        <v>806</v>
      </c>
      <c r="AT145" s="245" t="s">
        <v>556</v>
      </c>
      <c r="AU145" s="245" t="s">
        <v>769</v>
      </c>
      <c r="AY145" s="92" t="s">
        <v>800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92" t="s">
        <v>767</v>
      </c>
      <c r="BK145" s="246">
        <f>ROUND(I145*H145,2)</f>
        <v>0</v>
      </c>
      <c r="BL145" s="92" t="s">
        <v>806</v>
      </c>
      <c r="BM145" s="245" t="s">
        <v>871</v>
      </c>
    </row>
    <row r="146" spans="2:65" s="106" customFormat="1">
      <c r="B146" s="107"/>
      <c r="D146" s="247" t="s">
        <v>808</v>
      </c>
      <c r="F146" s="248" t="s">
        <v>844</v>
      </c>
      <c r="I146" s="167"/>
      <c r="L146" s="107"/>
      <c r="M146" s="249"/>
      <c r="T146" s="131"/>
      <c r="AT146" s="92" t="s">
        <v>808</v>
      </c>
      <c r="AU146" s="92" t="s">
        <v>769</v>
      </c>
    </row>
    <row r="147" spans="2:65" s="260" customFormat="1">
      <c r="B147" s="261"/>
      <c r="D147" s="247" t="s">
        <v>815</v>
      </c>
      <c r="E147" s="262" t="s">
        <v>25</v>
      </c>
      <c r="F147" s="263" t="s">
        <v>872</v>
      </c>
      <c r="H147" s="264">
        <v>58</v>
      </c>
      <c r="I147" s="265"/>
      <c r="L147" s="261"/>
      <c r="M147" s="266"/>
      <c r="T147" s="267"/>
      <c r="AT147" s="262" t="s">
        <v>815</v>
      </c>
      <c r="AU147" s="262" t="s">
        <v>769</v>
      </c>
      <c r="AV147" s="260" t="s">
        <v>769</v>
      </c>
      <c r="AW147" s="260" t="s">
        <v>720</v>
      </c>
      <c r="AX147" s="260" t="s">
        <v>767</v>
      </c>
      <c r="AY147" s="262" t="s">
        <v>800</v>
      </c>
    </row>
    <row r="148" spans="2:65" s="106" customFormat="1" ht="16.5" customHeight="1">
      <c r="B148" s="107"/>
      <c r="C148" s="234" t="s">
        <v>873</v>
      </c>
      <c r="D148" s="234" t="s">
        <v>556</v>
      </c>
      <c r="E148" s="235" t="s">
        <v>874</v>
      </c>
      <c r="F148" s="236" t="s">
        <v>875</v>
      </c>
      <c r="G148" s="237" t="s">
        <v>617</v>
      </c>
      <c r="H148" s="238">
        <v>58</v>
      </c>
      <c r="I148" s="239"/>
      <c r="J148" s="240">
        <f>ROUND(I148*H148,2)</f>
        <v>0</v>
      </c>
      <c r="K148" s="236" t="s">
        <v>25</v>
      </c>
      <c r="L148" s="107"/>
      <c r="M148" s="241" t="s">
        <v>25</v>
      </c>
      <c r="N148" s="242" t="s">
        <v>728</v>
      </c>
      <c r="P148" s="243">
        <f>O148*H148</f>
        <v>0</v>
      </c>
      <c r="Q148" s="243">
        <v>0</v>
      </c>
      <c r="R148" s="243">
        <f>Q148*H148</f>
        <v>0</v>
      </c>
      <c r="S148" s="243">
        <v>0</v>
      </c>
      <c r="T148" s="244">
        <f>S148*H148</f>
        <v>0</v>
      </c>
      <c r="AR148" s="245" t="s">
        <v>806</v>
      </c>
      <c r="AT148" s="245" t="s">
        <v>556</v>
      </c>
      <c r="AU148" s="245" t="s">
        <v>769</v>
      </c>
      <c r="AY148" s="92" t="s">
        <v>800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92" t="s">
        <v>767</v>
      </c>
      <c r="BK148" s="246">
        <f>ROUND(I148*H148,2)</f>
        <v>0</v>
      </c>
      <c r="BL148" s="92" t="s">
        <v>806</v>
      </c>
      <c r="BM148" s="245" t="s">
        <v>876</v>
      </c>
    </row>
    <row r="149" spans="2:65" s="106" customFormat="1">
      <c r="B149" s="107"/>
      <c r="D149" s="247" t="s">
        <v>808</v>
      </c>
      <c r="F149" s="248" t="s">
        <v>849</v>
      </c>
      <c r="I149" s="167"/>
      <c r="L149" s="107"/>
      <c r="M149" s="249"/>
      <c r="T149" s="131"/>
      <c r="AT149" s="92" t="s">
        <v>808</v>
      </c>
      <c r="AU149" s="92" t="s">
        <v>769</v>
      </c>
    </row>
    <row r="150" spans="2:65" s="106" customFormat="1" ht="16.5" customHeight="1">
      <c r="B150" s="107"/>
      <c r="C150" s="234" t="s">
        <v>877</v>
      </c>
      <c r="D150" s="234" t="s">
        <v>556</v>
      </c>
      <c r="E150" s="235" t="s">
        <v>878</v>
      </c>
      <c r="F150" s="236" t="s">
        <v>879</v>
      </c>
      <c r="G150" s="237" t="s">
        <v>617</v>
      </c>
      <c r="H150" s="238">
        <v>115</v>
      </c>
      <c r="I150" s="239"/>
      <c r="J150" s="240">
        <f>ROUND(I150*H150,2)</f>
        <v>0</v>
      </c>
      <c r="K150" s="236" t="s">
        <v>805</v>
      </c>
      <c r="L150" s="107"/>
      <c r="M150" s="241" t="s">
        <v>25</v>
      </c>
      <c r="N150" s="242" t="s">
        <v>728</v>
      </c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AR150" s="245" t="s">
        <v>806</v>
      </c>
      <c r="AT150" s="245" t="s">
        <v>556</v>
      </c>
      <c r="AU150" s="245" t="s">
        <v>769</v>
      </c>
      <c r="AY150" s="92" t="s">
        <v>800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92" t="s">
        <v>767</v>
      </c>
      <c r="BK150" s="246">
        <f>ROUND(I150*H150,2)</f>
        <v>0</v>
      </c>
      <c r="BL150" s="92" t="s">
        <v>806</v>
      </c>
      <c r="BM150" s="245" t="s">
        <v>880</v>
      </c>
    </row>
    <row r="151" spans="2:65" s="106" customFormat="1">
      <c r="B151" s="107"/>
      <c r="D151" s="247" t="s">
        <v>808</v>
      </c>
      <c r="F151" s="248" t="s">
        <v>881</v>
      </c>
      <c r="I151" s="167"/>
      <c r="L151" s="107"/>
      <c r="M151" s="249"/>
      <c r="T151" s="131"/>
      <c r="AT151" s="92" t="s">
        <v>808</v>
      </c>
      <c r="AU151" s="92" t="s">
        <v>769</v>
      </c>
    </row>
    <row r="152" spans="2:65" s="260" customFormat="1">
      <c r="B152" s="261"/>
      <c r="D152" s="247" t="s">
        <v>815</v>
      </c>
      <c r="E152" s="262" t="s">
        <v>25</v>
      </c>
      <c r="F152" s="263" t="s">
        <v>882</v>
      </c>
      <c r="H152" s="264">
        <v>115</v>
      </c>
      <c r="I152" s="265"/>
      <c r="L152" s="261"/>
      <c r="M152" s="266"/>
      <c r="T152" s="267"/>
      <c r="AT152" s="262" t="s">
        <v>815</v>
      </c>
      <c r="AU152" s="262" t="s">
        <v>769</v>
      </c>
      <c r="AV152" s="260" t="s">
        <v>769</v>
      </c>
      <c r="AW152" s="260" t="s">
        <v>720</v>
      </c>
      <c r="AX152" s="260" t="s">
        <v>767</v>
      </c>
      <c r="AY152" s="262" t="s">
        <v>800</v>
      </c>
    </row>
    <row r="153" spans="2:65" s="106" customFormat="1" ht="16.5" customHeight="1">
      <c r="B153" s="107"/>
      <c r="C153" s="234" t="s">
        <v>812</v>
      </c>
      <c r="D153" s="234" t="s">
        <v>556</v>
      </c>
      <c r="E153" s="235" t="s">
        <v>883</v>
      </c>
      <c r="F153" s="236" t="s">
        <v>884</v>
      </c>
      <c r="G153" s="237" t="s">
        <v>617</v>
      </c>
      <c r="H153" s="238">
        <v>115</v>
      </c>
      <c r="I153" s="239"/>
      <c r="J153" s="240">
        <f>ROUND(I153*H153,2)</f>
        <v>0</v>
      </c>
      <c r="K153" s="236" t="s">
        <v>805</v>
      </c>
      <c r="L153" s="107"/>
      <c r="M153" s="241" t="s">
        <v>25</v>
      </c>
      <c r="N153" s="242" t="s">
        <v>728</v>
      </c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AR153" s="245" t="s">
        <v>806</v>
      </c>
      <c r="AT153" s="245" t="s">
        <v>556</v>
      </c>
      <c r="AU153" s="245" t="s">
        <v>769</v>
      </c>
      <c r="AY153" s="92" t="s">
        <v>800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92" t="s">
        <v>767</v>
      </c>
      <c r="BK153" s="246">
        <f>ROUND(I153*H153,2)</f>
        <v>0</v>
      </c>
      <c r="BL153" s="92" t="s">
        <v>806</v>
      </c>
      <c r="BM153" s="245" t="s">
        <v>885</v>
      </c>
    </row>
    <row r="154" spans="2:65" s="106" customFormat="1">
      <c r="B154" s="107"/>
      <c r="D154" s="247" t="s">
        <v>808</v>
      </c>
      <c r="F154" s="248" t="s">
        <v>886</v>
      </c>
      <c r="I154" s="167"/>
      <c r="L154" s="107"/>
      <c r="M154" s="249"/>
      <c r="T154" s="131"/>
      <c r="AT154" s="92" t="s">
        <v>808</v>
      </c>
      <c r="AU154" s="92" t="s">
        <v>769</v>
      </c>
    </row>
    <row r="155" spans="2:65" s="106" customFormat="1" ht="16.5" customHeight="1">
      <c r="B155" s="107"/>
      <c r="C155" s="234" t="s">
        <v>887</v>
      </c>
      <c r="D155" s="234" t="s">
        <v>556</v>
      </c>
      <c r="E155" s="235" t="s">
        <v>851</v>
      </c>
      <c r="F155" s="236" t="s">
        <v>852</v>
      </c>
      <c r="G155" s="237" t="s">
        <v>617</v>
      </c>
      <c r="H155" s="238">
        <v>173</v>
      </c>
      <c r="I155" s="239"/>
      <c r="J155" s="240">
        <f>ROUND(I155*H155,2)</f>
        <v>0</v>
      </c>
      <c r="K155" s="236" t="s">
        <v>805</v>
      </c>
      <c r="L155" s="107"/>
      <c r="M155" s="241" t="s">
        <v>25</v>
      </c>
      <c r="N155" s="242" t="s">
        <v>728</v>
      </c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AR155" s="245" t="s">
        <v>806</v>
      </c>
      <c r="AT155" s="245" t="s">
        <v>556</v>
      </c>
      <c r="AU155" s="245" t="s">
        <v>769</v>
      </c>
      <c r="AY155" s="92" t="s">
        <v>800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92" t="s">
        <v>767</v>
      </c>
      <c r="BK155" s="246">
        <f>ROUND(I155*H155,2)</f>
        <v>0</v>
      </c>
      <c r="BL155" s="92" t="s">
        <v>806</v>
      </c>
      <c r="BM155" s="245" t="s">
        <v>888</v>
      </c>
    </row>
    <row r="156" spans="2:65" s="106" customFormat="1" ht="19.5">
      <c r="B156" s="107"/>
      <c r="D156" s="247" t="s">
        <v>808</v>
      </c>
      <c r="F156" s="248" t="s">
        <v>854</v>
      </c>
      <c r="I156" s="167"/>
      <c r="L156" s="107"/>
      <c r="M156" s="249"/>
      <c r="T156" s="131"/>
      <c r="AT156" s="92" t="s">
        <v>808</v>
      </c>
      <c r="AU156" s="92" t="s">
        <v>769</v>
      </c>
    </row>
    <row r="157" spans="2:65" s="260" customFormat="1">
      <c r="B157" s="261"/>
      <c r="D157" s="247" t="s">
        <v>815</v>
      </c>
      <c r="E157" s="262" t="s">
        <v>25</v>
      </c>
      <c r="F157" s="263" t="s">
        <v>889</v>
      </c>
      <c r="H157" s="264">
        <v>173</v>
      </c>
      <c r="I157" s="265"/>
      <c r="L157" s="261"/>
      <c r="M157" s="266"/>
      <c r="T157" s="267"/>
      <c r="AT157" s="262" t="s">
        <v>815</v>
      </c>
      <c r="AU157" s="262" t="s">
        <v>769</v>
      </c>
      <c r="AV157" s="260" t="s">
        <v>769</v>
      </c>
      <c r="AW157" s="260" t="s">
        <v>720</v>
      </c>
      <c r="AX157" s="260" t="s">
        <v>767</v>
      </c>
      <c r="AY157" s="262" t="s">
        <v>800</v>
      </c>
    </row>
    <row r="158" spans="2:65" s="221" customFormat="1" ht="22.9" customHeight="1">
      <c r="B158" s="222"/>
      <c r="D158" s="223" t="s">
        <v>549</v>
      </c>
      <c r="E158" s="232" t="s">
        <v>890</v>
      </c>
      <c r="F158" s="232" t="s">
        <v>891</v>
      </c>
      <c r="I158" s="225"/>
      <c r="J158" s="233">
        <f>BK158</f>
        <v>0</v>
      </c>
      <c r="L158" s="222"/>
      <c r="M158" s="227"/>
      <c r="P158" s="228">
        <f>SUM(P159:P168)</f>
        <v>0</v>
      </c>
      <c r="R158" s="228">
        <f>SUM(R159:R168)</f>
        <v>0.13500000000000001</v>
      </c>
      <c r="T158" s="229">
        <f>SUM(T159:T168)</f>
        <v>0</v>
      </c>
      <c r="AR158" s="223" t="s">
        <v>767</v>
      </c>
      <c r="AT158" s="230" t="s">
        <v>549</v>
      </c>
      <c r="AU158" s="230" t="s">
        <v>767</v>
      </c>
      <c r="AY158" s="223" t="s">
        <v>800</v>
      </c>
      <c r="BK158" s="231">
        <f>SUM(BK159:BK168)</f>
        <v>0</v>
      </c>
    </row>
    <row r="159" spans="2:65" s="106" customFormat="1" ht="16.5" customHeight="1">
      <c r="B159" s="107"/>
      <c r="C159" s="234" t="s">
        <v>892</v>
      </c>
      <c r="D159" s="234" t="s">
        <v>556</v>
      </c>
      <c r="E159" s="235" t="s">
        <v>893</v>
      </c>
      <c r="F159" s="236" t="s">
        <v>894</v>
      </c>
      <c r="G159" s="237" t="s">
        <v>895</v>
      </c>
      <c r="H159" s="238">
        <v>9</v>
      </c>
      <c r="I159" s="239"/>
      <c r="J159" s="240">
        <f>ROUND(I159*H159,2)</f>
        <v>0</v>
      </c>
      <c r="K159" s="236" t="s">
        <v>25</v>
      </c>
      <c r="L159" s="107"/>
      <c r="M159" s="241" t="s">
        <v>25</v>
      </c>
      <c r="N159" s="242" t="s">
        <v>728</v>
      </c>
      <c r="P159" s="243">
        <f>O159*H159</f>
        <v>0</v>
      </c>
      <c r="Q159" s="243">
        <v>0</v>
      </c>
      <c r="R159" s="243">
        <f>Q159*H159</f>
        <v>0</v>
      </c>
      <c r="S159" s="243">
        <v>0</v>
      </c>
      <c r="T159" s="244">
        <f>S159*H159</f>
        <v>0</v>
      </c>
      <c r="AR159" s="245" t="s">
        <v>806</v>
      </c>
      <c r="AT159" s="245" t="s">
        <v>556</v>
      </c>
      <c r="AU159" s="245" t="s">
        <v>769</v>
      </c>
      <c r="AY159" s="92" t="s">
        <v>800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92" t="s">
        <v>767</v>
      </c>
      <c r="BK159" s="246">
        <f>ROUND(I159*H159,2)</f>
        <v>0</v>
      </c>
      <c r="BL159" s="92" t="s">
        <v>806</v>
      </c>
      <c r="BM159" s="245" t="s">
        <v>896</v>
      </c>
    </row>
    <row r="160" spans="2:65" s="106" customFormat="1">
      <c r="B160" s="107"/>
      <c r="D160" s="247" t="s">
        <v>808</v>
      </c>
      <c r="F160" s="248" t="s">
        <v>894</v>
      </c>
      <c r="I160" s="167"/>
      <c r="L160" s="107"/>
      <c r="M160" s="249"/>
      <c r="T160" s="131"/>
      <c r="AT160" s="92" t="s">
        <v>808</v>
      </c>
      <c r="AU160" s="92" t="s">
        <v>769</v>
      </c>
    </row>
    <row r="161" spans="2:65" s="260" customFormat="1">
      <c r="B161" s="261"/>
      <c r="D161" s="247" t="s">
        <v>815</v>
      </c>
      <c r="E161" s="262" t="s">
        <v>25</v>
      </c>
      <c r="F161" s="263" t="s">
        <v>897</v>
      </c>
      <c r="H161" s="264">
        <v>9</v>
      </c>
      <c r="I161" s="265"/>
      <c r="L161" s="261"/>
      <c r="M161" s="266"/>
      <c r="T161" s="267"/>
      <c r="AT161" s="262" t="s">
        <v>815</v>
      </c>
      <c r="AU161" s="262" t="s">
        <v>769</v>
      </c>
      <c r="AV161" s="260" t="s">
        <v>769</v>
      </c>
      <c r="AW161" s="260" t="s">
        <v>720</v>
      </c>
      <c r="AX161" s="260" t="s">
        <v>767</v>
      </c>
      <c r="AY161" s="262" t="s">
        <v>800</v>
      </c>
    </row>
    <row r="162" spans="2:65" s="106" customFormat="1" ht="16.5" customHeight="1">
      <c r="B162" s="107"/>
      <c r="C162" s="250" t="s">
        <v>898</v>
      </c>
      <c r="D162" s="250" t="s">
        <v>64</v>
      </c>
      <c r="E162" s="251" t="s">
        <v>899</v>
      </c>
      <c r="F162" s="252" t="s">
        <v>900</v>
      </c>
      <c r="G162" s="253" t="s">
        <v>901</v>
      </c>
      <c r="H162" s="254">
        <v>100</v>
      </c>
      <c r="I162" s="255"/>
      <c r="J162" s="256">
        <f>ROUND(I162*H162,2)</f>
        <v>0</v>
      </c>
      <c r="K162" s="252" t="s">
        <v>25</v>
      </c>
      <c r="L162" s="257"/>
      <c r="M162" s="258" t="s">
        <v>25</v>
      </c>
      <c r="N162" s="259" t="s">
        <v>728</v>
      </c>
      <c r="P162" s="243">
        <f>O162*H162</f>
        <v>0</v>
      </c>
      <c r="Q162" s="243">
        <v>0</v>
      </c>
      <c r="R162" s="243">
        <f>Q162*H162</f>
        <v>0</v>
      </c>
      <c r="S162" s="243">
        <v>0</v>
      </c>
      <c r="T162" s="244">
        <f>S162*H162</f>
        <v>0</v>
      </c>
      <c r="AR162" s="245" t="s">
        <v>812</v>
      </c>
      <c r="AT162" s="245" t="s">
        <v>64</v>
      </c>
      <c r="AU162" s="245" t="s">
        <v>769</v>
      </c>
      <c r="AY162" s="92" t="s">
        <v>800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92" t="s">
        <v>767</v>
      </c>
      <c r="BK162" s="246">
        <f>ROUND(I162*H162,2)</f>
        <v>0</v>
      </c>
      <c r="BL162" s="92" t="s">
        <v>806</v>
      </c>
      <c r="BM162" s="245" t="s">
        <v>902</v>
      </c>
    </row>
    <row r="163" spans="2:65" s="106" customFormat="1">
      <c r="B163" s="107"/>
      <c r="D163" s="247" t="s">
        <v>808</v>
      </c>
      <c r="F163" s="248" t="s">
        <v>900</v>
      </c>
      <c r="I163" s="167"/>
      <c r="L163" s="107"/>
      <c r="M163" s="249"/>
      <c r="T163" s="131"/>
      <c r="AT163" s="92" t="s">
        <v>808</v>
      </c>
      <c r="AU163" s="92" t="s">
        <v>769</v>
      </c>
    </row>
    <row r="164" spans="2:65" s="260" customFormat="1">
      <c r="B164" s="261"/>
      <c r="D164" s="247" t="s">
        <v>815</v>
      </c>
      <c r="E164" s="262" t="s">
        <v>25</v>
      </c>
      <c r="F164" s="263" t="s">
        <v>903</v>
      </c>
      <c r="H164" s="264">
        <v>100</v>
      </c>
      <c r="I164" s="265"/>
      <c r="L164" s="261"/>
      <c r="M164" s="266"/>
      <c r="T164" s="267"/>
      <c r="AT164" s="262" t="s">
        <v>815</v>
      </c>
      <c r="AU164" s="262" t="s">
        <v>769</v>
      </c>
      <c r="AV164" s="260" t="s">
        <v>769</v>
      </c>
      <c r="AW164" s="260" t="s">
        <v>720</v>
      </c>
      <c r="AX164" s="260" t="s">
        <v>767</v>
      </c>
      <c r="AY164" s="262" t="s">
        <v>800</v>
      </c>
    </row>
    <row r="165" spans="2:65" s="106" customFormat="1" ht="16.5" customHeight="1">
      <c r="B165" s="107"/>
      <c r="C165" s="250" t="s">
        <v>904</v>
      </c>
      <c r="D165" s="250" t="s">
        <v>64</v>
      </c>
      <c r="E165" s="251" t="s">
        <v>905</v>
      </c>
      <c r="F165" s="252" t="s">
        <v>906</v>
      </c>
      <c r="G165" s="253" t="s">
        <v>593</v>
      </c>
      <c r="H165" s="254">
        <v>135</v>
      </c>
      <c r="I165" s="255"/>
      <c r="J165" s="256">
        <f>ROUND(I165*H165,2)</f>
        <v>0</v>
      </c>
      <c r="K165" s="252" t="s">
        <v>805</v>
      </c>
      <c r="L165" s="257"/>
      <c r="M165" s="258" t="s">
        <v>25</v>
      </c>
      <c r="N165" s="259" t="s">
        <v>728</v>
      </c>
      <c r="P165" s="243">
        <f>O165*H165</f>
        <v>0</v>
      </c>
      <c r="Q165" s="243">
        <v>1E-3</v>
      </c>
      <c r="R165" s="243">
        <f>Q165*H165</f>
        <v>0.13500000000000001</v>
      </c>
      <c r="S165" s="243">
        <v>0</v>
      </c>
      <c r="T165" s="244">
        <f>S165*H165</f>
        <v>0</v>
      </c>
      <c r="AR165" s="245" t="s">
        <v>812</v>
      </c>
      <c r="AT165" s="245" t="s">
        <v>64</v>
      </c>
      <c r="AU165" s="245" t="s">
        <v>769</v>
      </c>
      <c r="AY165" s="92" t="s">
        <v>800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92" t="s">
        <v>767</v>
      </c>
      <c r="BK165" s="246">
        <f>ROUND(I165*H165,2)</f>
        <v>0</v>
      </c>
      <c r="BL165" s="92" t="s">
        <v>806</v>
      </c>
      <c r="BM165" s="245" t="s">
        <v>907</v>
      </c>
    </row>
    <row r="166" spans="2:65" s="106" customFormat="1">
      <c r="B166" s="107"/>
      <c r="D166" s="247" t="s">
        <v>808</v>
      </c>
      <c r="F166" s="248" t="s">
        <v>906</v>
      </c>
      <c r="I166" s="167"/>
      <c r="L166" s="107"/>
      <c r="M166" s="249"/>
      <c r="T166" s="131"/>
      <c r="AT166" s="92" t="s">
        <v>808</v>
      </c>
      <c r="AU166" s="92" t="s">
        <v>769</v>
      </c>
    </row>
    <row r="167" spans="2:65" s="260" customFormat="1">
      <c r="B167" s="261"/>
      <c r="D167" s="247" t="s">
        <v>815</v>
      </c>
      <c r="E167" s="262" t="s">
        <v>25</v>
      </c>
      <c r="F167" s="263" t="s">
        <v>908</v>
      </c>
      <c r="H167" s="264">
        <v>0.09</v>
      </c>
      <c r="I167" s="265"/>
      <c r="L167" s="261"/>
      <c r="M167" s="266"/>
      <c r="T167" s="267"/>
      <c r="AT167" s="262" t="s">
        <v>815</v>
      </c>
      <c r="AU167" s="262" t="s">
        <v>769</v>
      </c>
      <c r="AV167" s="260" t="s">
        <v>769</v>
      </c>
      <c r="AW167" s="260" t="s">
        <v>720</v>
      </c>
      <c r="AX167" s="260" t="s">
        <v>767</v>
      </c>
      <c r="AY167" s="262" t="s">
        <v>800</v>
      </c>
    </row>
    <row r="168" spans="2:65" s="260" customFormat="1">
      <c r="B168" s="261"/>
      <c r="D168" s="247" t="s">
        <v>815</v>
      </c>
      <c r="F168" s="263" t="s">
        <v>909</v>
      </c>
      <c r="H168" s="264">
        <v>135</v>
      </c>
      <c r="I168" s="265"/>
      <c r="L168" s="261"/>
      <c r="M168" s="266"/>
      <c r="T168" s="267"/>
      <c r="AT168" s="262" t="s">
        <v>815</v>
      </c>
      <c r="AU168" s="262" t="s">
        <v>769</v>
      </c>
      <c r="AV168" s="260" t="s">
        <v>769</v>
      </c>
      <c r="AW168" s="260" t="s">
        <v>688</v>
      </c>
      <c r="AX168" s="260" t="s">
        <v>767</v>
      </c>
      <c r="AY168" s="262" t="s">
        <v>800</v>
      </c>
    </row>
    <row r="169" spans="2:65" s="221" customFormat="1" ht="25.9" customHeight="1">
      <c r="B169" s="222"/>
      <c r="D169" s="223" t="s">
        <v>549</v>
      </c>
      <c r="E169" s="224" t="s">
        <v>631</v>
      </c>
      <c r="F169" s="224" t="s">
        <v>632</v>
      </c>
      <c r="I169" s="225"/>
      <c r="J169" s="226">
        <f>BK169</f>
        <v>0</v>
      </c>
      <c r="L169" s="222"/>
      <c r="M169" s="227"/>
      <c r="P169" s="228">
        <f>P170</f>
        <v>0</v>
      </c>
      <c r="R169" s="228">
        <f>R170</f>
        <v>0</v>
      </c>
      <c r="T169" s="229">
        <f>T170</f>
        <v>0</v>
      </c>
      <c r="AR169" s="223" t="s">
        <v>802</v>
      </c>
      <c r="AT169" s="230" t="s">
        <v>549</v>
      </c>
      <c r="AU169" s="230" t="s">
        <v>760</v>
      </c>
      <c r="AY169" s="223" t="s">
        <v>800</v>
      </c>
      <c r="BK169" s="231">
        <f>BK170</f>
        <v>0</v>
      </c>
    </row>
    <row r="170" spans="2:65" s="221" customFormat="1" ht="22.9" customHeight="1">
      <c r="B170" s="222"/>
      <c r="D170" s="223" t="s">
        <v>549</v>
      </c>
      <c r="E170" s="232" t="s">
        <v>818</v>
      </c>
      <c r="F170" s="232" t="s">
        <v>819</v>
      </c>
      <c r="I170" s="225"/>
      <c r="J170" s="233">
        <f>BK170</f>
        <v>0</v>
      </c>
      <c r="L170" s="222"/>
      <c r="M170" s="227"/>
      <c r="P170" s="228">
        <f>SUM(P171:P172)</f>
        <v>0</v>
      </c>
      <c r="R170" s="228">
        <f>SUM(R171:R172)</f>
        <v>0</v>
      </c>
      <c r="T170" s="229">
        <f>SUM(T171:T172)</f>
        <v>0</v>
      </c>
      <c r="AR170" s="223" t="s">
        <v>802</v>
      </c>
      <c r="AT170" s="230" t="s">
        <v>549</v>
      </c>
      <c r="AU170" s="230" t="s">
        <v>767</v>
      </c>
      <c r="AY170" s="223" t="s">
        <v>800</v>
      </c>
      <c r="BK170" s="231">
        <f>SUM(BK171:BK172)</f>
        <v>0</v>
      </c>
    </row>
    <row r="171" spans="2:65" s="106" customFormat="1" ht="16.5" customHeight="1">
      <c r="B171" s="107"/>
      <c r="C171" s="234" t="s">
        <v>910</v>
      </c>
      <c r="D171" s="234" t="s">
        <v>556</v>
      </c>
      <c r="E171" s="235" t="s">
        <v>820</v>
      </c>
      <c r="F171" s="236" t="s">
        <v>819</v>
      </c>
      <c r="G171" s="237" t="s">
        <v>821</v>
      </c>
      <c r="H171" s="238">
        <v>1</v>
      </c>
      <c r="I171" s="239"/>
      <c r="J171" s="240">
        <f>ROUND(I171*H171,2)</f>
        <v>0</v>
      </c>
      <c r="K171" s="236" t="s">
        <v>805</v>
      </c>
      <c r="L171" s="107"/>
      <c r="M171" s="241" t="s">
        <v>25</v>
      </c>
      <c r="N171" s="242" t="s">
        <v>728</v>
      </c>
      <c r="P171" s="243">
        <f>O171*H171</f>
        <v>0</v>
      </c>
      <c r="Q171" s="243">
        <v>0</v>
      </c>
      <c r="R171" s="243">
        <f>Q171*H171</f>
        <v>0</v>
      </c>
      <c r="S171" s="243">
        <v>0</v>
      </c>
      <c r="T171" s="244">
        <f>S171*H171</f>
        <v>0</v>
      </c>
      <c r="AR171" s="245" t="s">
        <v>822</v>
      </c>
      <c r="AT171" s="245" t="s">
        <v>556</v>
      </c>
      <c r="AU171" s="245" t="s">
        <v>769</v>
      </c>
      <c r="AY171" s="92" t="s">
        <v>800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92" t="s">
        <v>767</v>
      </c>
      <c r="BK171" s="246">
        <f>ROUND(I171*H171,2)</f>
        <v>0</v>
      </c>
      <c r="BL171" s="92" t="s">
        <v>822</v>
      </c>
      <c r="BM171" s="245" t="s">
        <v>911</v>
      </c>
    </row>
    <row r="172" spans="2:65" s="106" customFormat="1">
      <c r="B172" s="107"/>
      <c r="D172" s="247" t="s">
        <v>808</v>
      </c>
      <c r="F172" s="248" t="s">
        <v>819</v>
      </c>
      <c r="I172" s="167"/>
      <c r="L172" s="107"/>
      <c r="M172" s="268"/>
      <c r="N172" s="269"/>
      <c r="O172" s="269"/>
      <c r="P172" s="269"/>
      <c r="Q172" s="269"/>
      <c r="R172" s="269"/>
      <c r="S172" s="269"/>
      <c r="T172" s="270"/>
      <c r="AT172" s="92" t="s">
        <v>808</v>
      </c>
      <c r="AU172" s="92" t="s">
        <v>769</v>
      </c>
    </row>
    <row r="173" spans="2:65" s="106" customFormat="1" ht="6.95" customHeight="1">
      <c r="B173" s="119"/>
      <c r="C173" s="120"/>
      <c r="D173" s="120"/>
      <c r="E173" s="120"/>
      <c r="F173" s="120"/>
      <c r="G173" s="120"/>
      <c r="H173" s="120"/>
      <c r="I173" s="192"/>
      <c r="J173" s="120"/>
      <c r="K173" s="120"/>
      <c r="L173" s="107"/>
    </row>
  </sheetData>
  <sheetProtection formatColumns="0" formatRows="0" autoFilter="0"/>
  <autoFilter ref="C121:K172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81772-ECF6-47A2-BDB2-15D8CD9D91DC}">
  <sheetPr>
    <tabColor theme="7" tint="0.39997558519241921"/>
    <pageSetUpPr fitToPage="1"/>
  </sheetPr>
  <dimension ref="B2:BM244"/>
  <sheetViews>
    <sheetView showGridLines="0" workbookViewId="0"/>
  </sheetViews>
  <sheetFormatPr defaultRowHeight="11.25"/>
  <cols>
    <col min="1" max="1" width="7.140625" style="91" customWidth="1"/>
    <col min="2" max="2" width="1.42578125" style="91" customWidth="1"/>
    <col min="3" max="3" width="3.5703125" style="91" customWidth="1"/>
    <col min="4" max="4" width="3.7109375" style="91" customWidth="1"/>
    <col min="5" max="5" width="14.7109375" style="91" customWidth="1"/>
    <col min="6" max="6" width="86.42578125" style="91" customWidth="1"/>
    <col min="7" max="7" width="6" style="91" customWidth="1"/>
    <col min="8" max="8" width="9.85546875" style="91" customWidth="1"/>
    <col min="9" max="9" width="17.28515625" style="164" customWidth="1"/>
    <col min="10" max="11" width="17.28515625" style="91" customWidth="1"/>
    <col min="12" max="12" width="8" style="91" customWidth="1"/>
    <col min="13" max="13" width="9.28515625" style="91" hidden="1" customWidth="1"/>
    <col min="14" max="14" width="9.140625" style="91"/>
    <col min="15" max="20" width="12.140625" style="91" hidden="1" customWidth="1"/>
    <col min="21" max="21" width="14" style="91" hidden="1" customWidth="1"/>
    <col min="22" max="22" width="10.5703125" style="91" customWidth="1"/>
    <col min="23" max="23" width="14" style="91" customWidth="1"/>
    <col min="24" max="24" width="10.5703125" style="91" customWidth="1"/>
    <col min="25" max="25" width="12.85546875" style="91" customWidth="1"/>
    <col min="26" max="26" width="9.42578125" style="91" customWidth="1"/>
    <col min="27" max="27" width="12.85546875" style="91" customWidth="1"/>
    <col min="28" max="28" width="14" style="91" customWidth="1"/>
    <col min="29" max="29" width="9.42578125" style="91" customWidth="1"/>
    <col min="30" max="30" width="12.85546875" style="91" customWidth="1"/>
    <col min="31" max="31" width="14" style="91" customWidth="1"/>
    <col min="32" max="16384" width="9.140625" style="91"/>
  </cols>
  <sheetData>
    <row r="2" spans="2:46" ht="36.950000000000003" customHeight="1"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92" t="s">
        <v>773</v>
      </c>
    </row>
    <row r="3" spans="2:46" ht="6.95" customHeight="1">
      <c r="B3" s="93"/>
      <c r="C3" s="94"/>
      <c r="D3" s="94"/>
      <c r="E3" s="94"/>
      <c r="F3" s="94"/>
      <c r="G3" s="94"/>
      <c r="H3" s="94"/>
      <c r="I3" s="165"/>
      <c r="J3" s="94"/>
      <c r="K3" s="94"/>
      <c r="L3" s="95"/>
      <c r="AT3" s="92" t="s">
        <v>769</v>
      </c>
    </row>
    <row r="4" spans="2:46" ht="24.95" customHeight="1">
      <c r="B4" s="95"/>
      <c r="D4" s="96" t="s">
        <v>776</v>
      </c>
      <c r="L4" s="95"/>
      <c r="M4" s="166" t="s">
        <v>694</v>
      </c>
      <c r="AT4" s="92" t="s">
        <v>688</v>
      </c>
    </row>
    <row r="5" spans="2:46" ht="6.95" customHeight="1">
      <c r="B5" s="95"/>
      <c r="L5" s="95"/>
    </row>
    <row r="6" spans="2:46" ht="12" customHeight="1">
      <c r="B6" s="95"/>
      <c r="D6" s="101" t="s">
        <v>700</v>
      </c>
      <c r="L6" s="95"/>
    </row>
    <row r="7" spans="2:46" ht="16.5" customHeight="1">
      <c r="B7" s="95"/>
      <c r="E7" s="337" t="str">
        <f>'19 - SO801_podrobně'!K6</f>
        <v>Lávka přes Labe v Nymburce - terénní a vegetační úpravy</v>
      </c>
      <c r="F7" s="338"/>
      <c r="G7" s="338"/>
      <c r="H7" s="338"/>
      <c r="L7" s="95"/>
    </row>
    <row r="8" spans="2:46" s="106" customFormat="1" ht="12" customHeight="1">
      <c r="B8" s="107"/>
      <c r="D8" s="101" t="s">
        <v>777</v>
      </c>
      <c r="I8" s="167"/>
      <c r="L8" s="107"/>
    </row>
    <row r="9" spans="2:46" s="106" customFormat="1" ht="16.5" customHeight="1">
      <c r="B9" s="107"/>
      <c r="E9" s="315" t="s">
        <v>912</v>
      </c>
      <c r="F9" s="336"/>
      <c r="G9" s="336"/>
      <c r="H9" s="336"/>
      <c r="I9" s="167"/>
      <c r="L9" s="107"/>
    </row>
    <row r="10" spans="2:46" s="106" customFormat="1">
      <c r="B10" s="107"/>
      <c r="I10" s="167"/>
      <c r="L10" s="107"/>
    </row>
    <row r="11" spans="2:46" s="106" customFormat="1" ht="12" customHeight="1">
      <c r="B11" s="107"/>
      <c r="D11" s="101" t="s">
        <v>702</v>
      </c>
      <c r="F11" s="102" t="s">
        <v>25</v>
      </c>
      <c r="I11" s="168" t="s">
        <v>703</v>
      </c>
      <c r="J11" s="102" t="s">
        <v>25</v>
      </c>
      <c r="L11" s="107"/>
    </row>
    <row r="12" spans="2:46" s="106" customFormat="1" ht="12" customHeight="1">
      <c r="B12" s="107"/>
      <c r="D12" s="101" t="s">
        <v>704</v>
      </c>
      <c r="F12" s="102" t="s">
        <v>705</v>
      </c>
      <c r="I12" s="168" t="s">
        <v>706</v>
      </c>
      <c r="J12" s="169" t="str">
        <f>'19 - SO801_podrobně'!AN8</f>
        <v>21. 11. 2019</v>
      </c>
      <c r="L12" s="107"/>
    </row>
    <row r="13" spans="2:46" s="106" customFormat="1" ht="10.9" customHeight="1">
      <c r="B13" s="107"/>
      <c r="I13" s="167"/>
      <c r="L13" s="107"/>
    </row>
    <row r="14" spans="2:46" s="106" customFormat="1" ht="12" customHeight="1">
      <c r="B14" s="107"/>
      <c r="D14" s="101" t="s">
        <v>708</v>
      </c>
      <c r="I14" s="168" t="s">
        <v>709</v>
      </c>
      <c r="J14" s="102" t="s">
        <v>25</v>
      </c>
      <c r="L14" s="107"/>
    </row>
    <row r="15" spans="2:46" s="106" customFormat="1" ht="18" customHeight="1">
      <c r="B15" s="107"/>
      <c r="E15" s="102" t="s">
        <v>711</v>
      </c>
      <c r="I15" s="168" t="s">
        <v>712</v>
      </c>
      <c r="J15" s="102" t="s">
        <v>25</v>
      </c>
      <c r="L15" s="107"/>
    </row>
    <row r="16" spans="2:46" s="106" customFormat="1" ht="6.95" customHeight="1">
      <c r="B16" s="107"/>
      <c r="I16" s="167"/>
      <c r="L16" s="107"/>
    </row>
    <row r="17" spans="2:12" s="106" customFormat="1" ht="12" customHeight="1">
      <c r="B17" s="107"/>
      <c r="D17" s="101" t="s">
        <v>714</v>
      </c>
      <c r="I17" s="168" t="s">
        <v>709</v>
      </c>
      <c r="J17" s="103" t="str">
        <f>'19 - SO801_podrobně'!AN13</f>
        <v>Vyplň údaj</v>
      </c>
      <c r="L17" s="107"/>
    </row>
    <row r="18" spans="2:12" s="106" customFormat="1" ht="18" customHeight="1">
      <c r="B18" s="107"/>
      <c r="E18" s="339" t="str">
        <f>'19 - SO801_podrobně'!E14</f>
        <v>Vyplň údaj</v>
      </c>
      <c r="F18" s="325"/>
      <c r="G18" s="325"/>
      <c r="H18" s="325"/>
      <c r="I18" s="168" t="s">
        <v>712</v>
      </c>
      <c r="J18" s="103" t="str">
        <f>'19 - SO801_podrobně'!AN14</f>
        <v>Vyplň údaj</v>
      </c>
      <c r="L18" s="107"/>
    </row>
    <row r="19" spans="2:12" s="106" customFormat="1" ht="6.95" customHeight="1">
      <c r="B19" s="107"/>
      <c r="I19" s="167"/>
      <c r="L19" s="107"/>
    </row>
    <row r="20" spans="2:12" s="106" customFormat="1" ht="12" customHeight="1">
      <c r="B20" s="107"/>
      <c r="D20" s="101" t="s">
        <v>716</v>
      </c>
      <c r="I20" s="168" t="s">
        <v>709</v>
      </c>
      <c r="J20" s="102" t="s">
        <v>717</v>
      </c>
      <c r="L20" s="107"/>
    </row>
    <row r="21" spans="2:12" s="106" customFormat="1" ht="18" customHeight="1">
      <c r="B21" s="107"/>
      <c r="E21" s="102" t="s">
        <v>718</v>
      </c>
      <c r="I21" s="168" t="s">
        <v>712</v>
      </c>
      <c r="J21" s="102" t="s">
        <v>719</v>
      </c>
      <c r="L21" s="107"/>
    </row>
    <row r="22" spans="2:12" s="106" customFormat="1" ht="6.95" customHeight="1">
      <c r="B22" s="107"/>
      <c r="I22" s="167"/>
      <c r="L22" s="107"/>
    </row>
    <row r="23" spans="2:12" s="106" customFormat="1" ht="12" customHeight="1">
      <c r="B23" s="107"/>
      <c r="D23" s="101" t="s">
        <v>721</v>
      </c>
      <c r="I23" s="168" t="s">
        <v>709</v>
      </c>
      <c r="J23" s="102" t="s">
        <v>717</v>
      </c>
      <c r="L23" s="107"/>
    </row>
    <row r="24" spans="2:12" s="106" customFormat="1" ht="18" customHeight="1">
      <c r="B24" s="107"/>
      <c r="E24" s="102" t="s">
        <v>718</v>
      </c>
      <c r="I24" s="168" t="s">
        <v>712</v>
      </c>
      <c r="J24" s="102" t="s">
        <v>719</v>
      </c>
      <c r="L24" s="107"/>
    </row>
    <row r="25" spans="2:12" s="106" customFormat="1" ht="6.95" customHeight="1">
      <c r="B25" s="107"/>
      <c r="I25" s="167"/>
      <c r="L25" s="107"/>
    </row>
    <row r="26" spans="2:12" s="106" customFormat="1" ht="12" customHeight="1">
      <c r="B26" s="107"/>
      <c r="D26" s="101" t="s">
        <v>722</v>
      </c>
      <c r="I26" s="167"/>
      <c r="L26" s="107"/>
    </row>
    <row r="27" spans="2:12" s="170" customFormat="1" ht="16.5" customHeight="1">
      <c r="B27" s="171"/>
      <c r="E27" s="332" t="s">
        <v>25</v>
      </c>
      <c r="F27" s="332"/>
      <c r="G27" s="332"/>
      <c r="H27" s="332"/>
      <c r="I27" s="172"/>
      <c r="L27" s="171"/>
    </row>
    <row r="28" spans="2:12" s="106" customFormat="1" ht="6.95" customHeight="1">
      <c r="B28" s="107"/>
      <c r="I28" s="167"/>
      <c r="L28" s="107"/>
    </row>
    <row r="29" spans="2:12" s="106" customFormat="1" ht="6.95" customHeight="1">
      <c r="B29" s="107"/>
      <c r="D29" s="129"/>
      <c r="E29" s="129"/>
      <c r="F29" s="129"/>
      <c r="G29" s="129"/>
      <c r="H29" s="129"/>
      <c r="I29" s="173"/>
      <c r="J29" s="129"/>
      <c r="K29" s="129"/>
      <c r="L29" s="107"/>
    </row>
    <row r="30" spans="2:12" s="106" customFormat="1" ht="25.35" customHeight="1">
      <c r="B30" s="107"/>
      <c r="D30" s="174" t="s">
        <v>723</v>
      </c>
      <c r="I30" s="167"/>
      <c r="J30" s="175">
        <f>ROUND(J124, 2)</f>
        <v>0</v>
      </c>
      <c r="L30" s="107"/>
    </row>
    <row r="31" spans="2:12" s="106" customFormat="1" ht="6.95" customHeight="1">
      <c r="B31" s="107"/>
      <c r="D31" s="129"/>
      <c r="E31" s="129"/>
      <c r="F31" s="129"/>
      <c r="G31" s="129"/>
      <c r="H31" s="129"/>
      <c r="I31" s="173"/>
      <c r="J31" s="129"/>
      <c r="K31" s="129"/>
      <c r="L31" s="107"/>
    </row>
    <row r="32" spans="2:12" s="106" customFormat="1" ht="14.45" customHeight="1">
      <c r="B32" s="107"/>
      <c r="F32" s="176" t="s">
        <v>725</v>
      </c>
      <c r="I32" s="177" t="s">
        <v>724</v>
      </c>
      <c r="J32" s="176" t="s">
        <v>726</v>
      </c>
      <c r="L32" s="107"/>
    </row>
    <row r="33" spans="2:12" s="106" customFormat="1" ht="14.45" customHeight="1">
      <c r="B33" s="107"/>
      <c r="D33" s="178" t="s">
        <v>727</v>
      </c>
      <c r="E33" s="101" t="s">
        <v>728</v>
      </c>
      <c r="F33" s="179">
        <f>ROUND((SUM(BE124:BE243)),  2)</f>
        <v>0</v>
      </c>
      <c r="I33" s="180">
        <v>0.21</v>
      </c>
      <c r="J33" s="179">
        <f>ROUND(((SUM(BE124:BE243))*I33),  2)</f>
        <v>0</v>
      </c>
      <c r="L33" s="107"/>
    </row>
    <row r="34" spans="2:12" s="106" customFormat="1" ht="14.45" customHeight="1">
      <c r="B34" s="107"/>
      <c r="E34" s="101" t="s">
        <v>729</v>
      </c>
      <c r="F34" s="179">
        <f>ROUND((SUM(BF124:BF243)),  2)</f>
        <v>0</v>
      </c>
      <c r="I34" s="180">
        <v>0.15</v>
      </c>
      <c r="J34" s="179">
        <f>ROUND(((SUM(BF124:BF243))*I34),  2)</f>
        <v>0</v>
      </c>
      <c r="L34" s="107"/>
    </row>
    <row r="35" spans="2:12" s="106" customFormat="1" ht="14.45" hidden="1" customHeight="1">
      <c r="B35" s="107"/>
      <c r="E35" s="101" t="s">
        <v>730</v>
      </c>
      <c r="F35" s="179">
        <f>ROUND((SUM(BG124:BG243)),  2)</f>
        <v>0</v>
      </c>
      <c r="I35" s="180">
        <v>0.21</v>
      </c>
      <c r="J35" s="179">
        <f>0</f>
        <v>0</v>
      </c>
      <c r="L35" s="107"/>
    </row>
    <row r="36" spans="2:12" s="106" customFormat="1" ht="14.45" hidden="1" customHeight="1">
      <c r="B36" s="107"/>
      <c r="E36" s="101" t="s">
        <v>731</v>
      </c>
      <c r="F36" s="179">
        <f>ROUND((SUM(BH124:BH243)),  2)</f>
        <v>0</v>
      </c>
      <c r="I36" s="180">
        <v>0.15</v>
      </c>
      <c r="J36" s="179">
        <f>0</f>
        <v>0</v>
      </c>
      <c r="L36" s="107"/>
    </row>
    <row r="37" spans="2:12" s="106" customFormat="1" ht="14.45" hidden="1" customHeight="1">
      <c r="B37" s="107"/>
      <c r="E37" s="101" t="s">
        <v>732</v>
      </c>
      <c r="F37" s="179">
        <f>ROUND((SUM(BI124:BI243)),  2)</f>
        <v>0</v>
      </c>
      <c r="I37" s="180">
        <v>0</v>
      </c>
      <c r="J37" s="179">
        <f>0</f>
        <v>0</v>
      </c>
      <c r="L37" s="107"/>
    </row>
    <row r="38" spans="2:12" s="106" customFormat="1" ht="6.95" customHeight="1">
      <c r="B38" s="107"/>
      <c r="I38" s="167"/>
      <c r="L38" s="107"/>
    </row>
    <row r="39" spans="2:12" s="106" customFormat="1" ht="25.35" customHeight="1">
      <c r="B39" s="107"/>
      <c r="C39" s="181"/>
      <c r="D39" s="182" t="s">
        <v>733</v>
      </c>
      <c r="E39" s="132"/>
      <c r="F39" s="132"/>
      <c r="G39" s="183" t="s">
        <v>734</v>
      </c>
      <c r="H39" s="184" t="s">
        <v>735</v>
      </c>
      <c r="I39" s="185"/>
      <c r="J39" s="186">
        <f>SUM(J30:J37)</f>
        <v>0</v>
      </c>
      <c r="K39" s="187"/>
      <c r="L39" s="107"/>
    </row>
    <row r="40" spans="2:12" s="106" customFormat="1" ht="14.45" customHeight="1">
      <c r="B40" s="107"/>
      <c r="I40" s="167"/>
      <c r="L40" s="107"/>
    </row>
    <row r="41" spans="2:12" ht="14.45" customHeight="1">
      <c r="B41" s="95"/>
      <c r="L41" s="95"/>
    </row>
    <row r="42" spans="2:12" ht="14.45" customHeight="1">
      <c r="B42" s="95"/>
      <c r="L42" s="95"/>
    </row>
    <row r="43" spans="2:12" ht="14.45" customHeight="1">
      <c r="B43" s="95"/>
      <c r="L43" s="95"/>
    </row>
    <row r="44" spans="2:12" ht="14.45" customHeight="1">
      <c r="B44" s="95"/>
      <c r="L44" s="95"/>
    </row>
    <row r="45" spans="2:12" ht="14.45" customHeight="1">
      <c r="B45" s="95"/>
      <c r="L45" s="95"/>
    </row>
    <row r="46" spans="2:12" ht="14.45" customHeight="1">
      <c r="B46" s="95"/>
      <c r="L46" s="95"/>
    </row>
    <row r="47" spans="2:12" ht="14.45" customHeight="1">
      <c r="B47" s="95"/>
      <c r="L47" s="95"/>
    </row>
    <row r="48" spans="2:12" ht="14.45" customHeight="1">
      <c r="B48" s="95"/>
      <c r="L48" s="95"/>
    </row>
    <row r="49" spans="2:12" ht="14.45" customHeight="1">
      <c r="B49" s="95"/>
      <c r="L49" s="95"/>
    </row>
    <row r="50" spans="2:12" s="106" customFormat="1" ht="14.45" customHeight="1">
      <c r="B50" s="107"/>
      <c r="D50" s="116" t="s">
        <v>736</v>
      </c>
      <c r="E50" s="117"/>
      <c r="F50" s="117"/>
      <c r="G50" s="116" t="s">
        <v>737</v>
      </c>
      <c r="H50" s="117"/>
      <c r="I50" s="188"/>
      <c r="J50" s="117"/>
      <c r="K50" s="117"/>
      <c r="L50" s="107"/>
    </row>
    <row r="51" spans="2:12">
      <c r="B51" s="95"/>
      <c r="L51" s="95"/>
    </row>
    <row r="52" spans="2:12">
      <c r="B52" s="95"/>
      <c r="L52" s="95"/>
    </row>
    <row r="53" spans="2:12">
      <c r="B53" s="95"/>
      <c r="L53" s="95"/>
    </row>
    <row r="54" spans="2:12">
      <c r="B54" s="95"/>
      <c r="L54" s="95"/>
    </row>
    <row r="55" spans="2:12">
      <c r="B55" s="95"/>
      <c r="L55" s="95"/>
    </row>
    <row r="56" spans="2:12">
      <c r="B56" s="95"/>
      <c r="L56" s="95"/>
    </row>
    <row r="57" spans="2:12">
      <c r="B57" s="95"/>
      <c r="L57" s="95"/>
    </row>
    <row r="58" spans="2:12">
      <c r="B58" s="95"/>
      <c r="L58" s="95"/>
    </row>
    <row r="59" spans="2:12">
      <c r="B59" s="95"/>
      <c r="L59" s="95"/>
    </row>
    <row r="60" spans="2:12">
      <c r="B60" s="95"/>
      <c r="L60" s="95"/>
    </row>
    <row r="61" spans="2:12" s="106" customFormat="1" ht="12.75">
      <c r="B61" s="107"/>
      <c r="D61" s="118" t="s">
        <v>738</v>
      </c>
      <c r="E61" s="109"/>
      <c r="F61" s="189" t="s">
        <v>739</v>
      </c>
      <c r="G61" s="118" t="s">
        <v>738</v>
      </c>
      <c r="H61" s="109"/>
      <c r="I61" s="190"/>
      <c r="J61" s="191" t="s">
        <v>739</v>
      </c>
      <c r="K61" s="109"/>
      <c r="L61" s="107"/>
    </row>
    <row r="62" spans="2:12">
      <c r="B62" s="95"/>
      <c r="L62" s="95"/>
    </row>
    <row r="63" spans="2:12">
      <c r="B63" s="95"/>
      <c r="L63" s="95"/>
    </row>
    <row r="64" spans="2:12">
      <c r="B64" s="95"/>
      <c r="L64" s="95"/>
    </row>
    <row r="65" spans="2:12" s="106" customFormat="1" ht="12.75">
      <c r="B65" s="107"/>
      <c r="D65" s="116" t="s">
        <v>740</v>
      </c>
      <c r="E65" s="117"/>
      <c r="F65" s="117"/>
      <c r="G65" s="116" t="s">
        <v>741</v>
      </c>
      <c r="H65" s="117"/>
      <c r="I65" s="188"/>
      <c r="J65" s="117"/>
      <c r="K65" s="117"/>
      <c r="L65" s="107"/>
    </row>
    <row r="66" spans="2:12">
      <c r="B66" s="95"/>
      <c r="L66" s="95"/>
    </row>
    <row r="67" spans="2:12">
      <c r="B67" s="95"/>
      <c r="L67" s="95"/>
    </row>
    <row r="68" spans="2:12">
      <c r="B68" s="95"/>
      <c r="L68" s="95"/>
    </row>
    <row r="69" spans="2:12">
      <c r="B69" s="95"/>
      <c r="L69" s="95"/>
    </row>
    <row r="70" spans="2:12">
      <c r="B70" s="95"/>
      <c r="L70" s="95"/>
    </row>
    <row r="71" spans="2:12">
      <c r="B71" s="95"/>
      <c r="L71" s="95"/>
    </row>
    <row r="72" spans="2:12">
      <c r="B72" s="95"/>
      <c r="L72" s="95"/>
    </row>
    <row r="73" spans="2:12">
      <c r="B73" s="95"/>
      <c r="L73" s="95"/>
    </row>
    <row r="74" spans="2:12">
      <c r="B74" s="95"/>
      <c r="L74" s="95"/>
    </row>
    <row r="75" spans="2:12">
      <c r="B75" s="95"/>
      <c r="L75" s="95"/>
    </row>
    <row r="76" spans="2:12" s="106" customFormat="1" ht="12.75">
      <c r="B76" s="107"/>
      <c r="D76" s="118" t="s">
        <v>738</v>
      </c>
      <c r="E76" s="109"/>
      <c r="F76" s="189" t="s">
        <v>739</v>
      </c>
      <c r="G76" s="118" t="s">
        <v>738</v>
      </c>
      <c r="H76" s="109"/>
      <c r="I76" s="190"/>
      <c r="J76" s="191" t="s">
        <v>739</v>
      </c>
      <c r="K76" s="109"/>
      <c r="L76" s="107"/>
    </row>
    <row r="77" spans="2:12" s="106" customFormat="1" ht="14.45" customHeight="1">
      <c r="B77" s="119"/>
      <c r="C77" s="120"/>
      <c r="D77" s="120"/>
      <c r="E77" s="120"/>
      <c r="F77" s="120"/>
      <c r="G77" s="120"/>
      <c r="H77" s="120"/>
      <c r="I77" s="192"/>
      <c r="J77" s="120"/>
      <c r="K77" s="120"/>
      <c r="L77" s="107"/>
    </row>
    <row r="81" spans="2:47" s="106" customFormat="1" ht="6.95" customHeight="1">
      <c r="B81" s="121"/>
      <c r="C81" s="122"/>
      <c r="D81" s="122"/>
      <c r="E81" s="122"/>
      <c r="F81" s="122"/>
      <c r="G81" s="122"/>
      <c r="H81" s="122"/>
      <c r="I81" s="193"/>
      <c r="J81" s="122"/>
      <c r="K81" s="122"/>
      <c r="L81" s="107"/>
    </row>
    <row r="82" spans="2:47" s="106" customFormat="1" ht="24.95" customHeight="1">
      <c r="B82" s="107"/>
      <c r="C82" s="96" t="s">
        <v>779</v>
      </c>
      <c r="I82" s="167"/>
      <c r="L82" s="107"/>
    </row>
    <row r="83" spans="2:47" s="106" customFormat="1" ht="6.95" customHeight="1">
      <c r="B83" s="107"/>
      <c r="I83" s="167"/>
      <c r="L83" s="107"/>
    </row>
    <row r="84" spans="2:47" s="106" customFormat="1" ht="12" customHeight="1">
      <c r="B84" s="107"/>
      <c r="C84" s="101" t="s">
        <v>700</v>
      </c>
      <c r="I84" s="167"/>
      <c r="L84" s="107"/>
    </row>
    <row r="85" spans="2:47" s="106" customFormat="1" ht="16.5" customHeight="1">
      <c r="B85" s="107"/>
      <c r="E85" s="337" t="str">
        <f>E7</f>
        <v>Lávka přes Labe v Nymburce - terénní a vegetační úpravy</v>
      </c>
      <c r="F85" s="338"/>
      <c r="G85" s="338"/>
      <c r="H85" s="338"/>
      <c r="I85" s="167"/>
      <c r="L85" s="107"/>
    </row>
    <row r="86" spans="2:47" s="106" customFormat="1" ht="12" customHeight="1">
      <c r="B86" s="107"/>
      <c r="C86" s="101" t="s">
        <v>777</v>
      </c>
      <c r="I86" s="167"/>
      <c r="L86" s="107"/>
    </row>
    <row r="87" spans="2:47" s="106" customFormat="1" ht="16.5" customHeight="1">
      <c r="B87" s="107"/>
      <c r="E87" s="315" t="str">
        <f>E9</f>
        <v>SO 801.2.1 - Založení vegetace</v>
      </c>
      <c r="F87" s="336"/>
      <c r="G87" s="336"/>
      <c r="H87" s="336"/>
      <c r="I87" s="167"/>
      <c r="L87" s="107"/>
    </row>
    <row r="88" spans="2:47" s="106" customFormat="1" ht="6.95" customHeight="1">
      <c r="B88" s="107"/>
      <c r="I88" s="167"/>
      <c r="L88" s="107"/>
    </row>
    <row r="89" spans="2:47" s="106" customFormat="1" ht="12" customHeight="1">
      <c r="B89" s="107"/>
      <c r="C89" s="101" t="s">
        <v>704</v>
      </c>
      <c r="F89" s="102" t="str">
        <f>F12</f>
        <v xml:space="preserve">Lávka </v>
      </c>
      <c r="I89" s="168" t="s">
        <v>706</v>
      </c>
      <c r="J89" s="169" t="str">
        <f>IF(J12="","",J12)</f>
        <v>21. 11. 2019</v>
      </c>
      <c r="L89" s="107"/>
    </row>
    <row r="90" spans="2:47" s="106" customFormat="1" ht="6.95" customHeight="1">
      <c r="B90" s="107"/>
      <c r="I90" s="167"/>
      <c r="L90" s="107"/>
    </row>
    <row r="91" spans="2:47" s="106" customFormat="1" ht="25.7" customHeight="1">
      <c r="B91" s="107"/>
      <c r="C91" s="101" t="s">
        <v>708</v>
      </c>
      <c r="F91" s="102" t="str">
        <f>E15</f>
        <v>Město Nymburk</v>
      </c>
      <c r="I91" s="168" t="s">
        <v>716</v>
      </c>
      <c r="J91" s="194" t="str">
        <f>E21</f>
        <v>Ing. Gabriela Mlatečková Čížková</v>
      </c>
      <c r="L91" s="107"/>
    </row>
    <row r="92" spans="2:47" s="106" customFormat="1" ht="25.7" customHeight="1">
      <c r="B92" s="107"/>
      <c r="C92" s="101" t="s">
        <v>714</v>
      </c>
      <c r="F92" s="102" t="str">
        <f>IF(E18="","",E18)</f>
        <v>Vyplň údaj</v>
      </c>
      <c r="I92" s="168" t="s">
        <v>721</v>
      </c>
      <c r="J92" s="194" t="str">
        <f>E24</f>
        <v>Ing. Gabriela Mlatečková Čížková</v>
      </c>
      <c r="L92" s="107"/>
    </row>
    <row r="93" spans="2:47" s="106" customFormat="1" ht="10.35" customHeight="1">
      <c r="B93" s="107"/>
      <c r="I93" s="167"/>
      <c r="L93" s="107"/>
    </row>
    <row r="94" spans="2:47" s="106" customFormat="1" ht="29.25" customHeight="1">
      <c r="B94" s="107"/>
      <c r="C94" s="195" t="s">
        <v>780</v>
      </c>
      <c r="D94" s="181"/>
      <c r="E94" s="181"/>
      <c r="F94" s="181"/>
      <c r="G94" s="181"/>
      <c r="H94" s="181"/>
      <c r="I94" s="196"/>
      <c r="J94" s="197" t="s">
        <v>781</v>
      </c>
      <c r="K94" s="181"/>
      <c r="L94" s="107"/>
    </row>
    <row r="95" spans="2:47" s="106" customFormat="1" ht="10.35" customHeight="1">
      <c r="B95" s="107"/>
      <c r="I95" s="167"/>
      <c r="L95" s="107"/>
    </row>
    <row r="96" spans="2:47" s="106" customFormat="1" ht="22.9" customHeight="1">
      <c r="B96" s="107"/>
      <c r="C96" s="198" t="s">
        <v>782</v>
      </c>
      <c r="I96" s="167"/>
      <c r="J96" s="175">
        <f>J124</f>
        <v>0</v>
      </c>
      <c r="L96" s="107"/>
      <c r="AU96" s="92" t="s">
        <v>783</v>
      </c>
    </row>
    <row r="97" spans="2:12" s="199" customFormat="1" ht="24.95" customHeight="1">
      <c r="B97" s="200"/>
      <c r="D97" s="201" t="s">
        <v>913</v>
      </c>
      <c r="E97" s="202"/>
      <c r="F97" s="202"/>
      <c r="G97" s="202"/>
      <c r="H97" s="202"/>
      <c r="I97" s="203"/>
      <c r="J97" s="204">
        <f>J125</f>
        <v>0</v>
      </c>
      <c r="L97" s="200"/>
    </row>
    <row r="98" spans="2:12" s="205" customFormat="1" ht="19.899999999999999" customHeight="1">
      <c r="B98" s="206"/>
      <c r="D98" s="207" t="s">
        <v>914</v>
      </c>
      <c r="E98" s="208"/>
      <c r="F98" s="208"/>
      <c r="G98" s="208"/>
      <c r="H98" s="208"/>
      <c r="I98" s="209"/>
      <c r="J98" s="210">
        <f>J126</f>
        <v>0</v>
      </c>
      <c r="L98" s="206"/>
    </row>
    <row r="99" spans="2:12" s="205" customFormat="1" ht="19.899999999999999" customHeight="1">
      <c r="B99" s="206"/>
      <c r="D99" s="207" t="s">
        <v>915</v>
      </c>
      <c r="E99" s="208"/>
      <c r="F99" s="208"/>
      <c r="G99" s="208"/>
      <c r="H99" s="208"/>
      <c r="I99" s="209"/>
      <c r="J99" s="210">
        <f>J165</f>
        <v>0</v>
      </c>
      <c r="L99" s="206"/>
    </row>
    <row r="100" spans="2:12" s="205" customFormat="1" ht="19.899999999999999" customHeight="1">
      <c r="B100" s="206"/>
      <c r="D100" s="207" t="s">
        <v>916</v>
      </c>
      <c r="E100" s="208"/>
      <c r="F100" s="208"/>
      <c r="G100" s="208"/>
      <c r="H100" s="208"/>
      <c r="I100" s="209"/>
      <c r="J100" s="210">
        <f>J188</f>
        <v>0</v>
      </c>
      <c r="L100" s="206"/>
    </row>
    <row r="101" spans="2:12" s="205" customFormat="1" ht="19.899999999999999" customHeight="1">
      <c r="B101" s="206"/>
      <c r="D101" s="207" t="s">
        <v>917</v>
      </c>
      <c r="E101" s="208"/>
      <c r="F101" s="208"/>
      <c r="G101" s="208"/>
      <c r="H101" s="208"/>
      <c r="I101" s="209"/>
      <c r="J101" s="210">
        <f>J211</f>
        <v>0</v>
      </c>
      <c r="L101" s="206"/>
    </row>
    <row r="102" spans="2:12" s="205" customFormat="1" ht="19.899999999999999" customHeight="1">
      <c r="B102" s="206"/>
      <c r="D102" s="207" t="s">
        <v>918</v>
      </c>
      <c r="E102" s="208"/>
      <c r="F102" s="208"/>
      <c r="G102" s="208"/>
      <c r="H102" s="208"/>
      <c r="I102" s="209"/>
      <c r="J102" s="210">
        <f>J221</f>
        <v>0</v>
      </c>
      <c r="L102" s="206"/>
    </row>
    <row r="103" spans="2:12" s="205" customFormat="1" ht="19.899999999999999" customHeight="1">
      <c r="B103" s="206"/>
      <c r="D103" s="207" t="s">
        <v>919</v>
      </c>
      <c r="E103" s="208"/>
      <c r="F103" s="208"/>
      <c r="G103" s="208"/>
      <c r="H103" s="208"/>
      <c r="I103" s="209"/>
      <c r="J103" s="210">
        <f>J232</f>
        <v>0</v>
      </c>
      <c r="L103" s="206"/>
    </row>
    <row r="104" spans="2:12" s="205" customFormat="1" ht="14.85" customHeight="1">
      <c r="B104" s="206"/>
      <c r="D104" s="207" t="s">
        <v>920</v>
      </c>
      <c r="E104" s="208"/>
      <c r="F104" s="208"/>
      <c r="G104" s="208"/>
      <c r="H104" s="208"/>
      <c r="I104" s="209"/>
      <c r="J104" s="210">
        <f>J241</f>
        <v>0</v>
      </c>
      <c r="L104" s="206"/>
    </row>
    <row r="105" spans="2:12" s="106" customFormat="1" ht="21.75" customHeight="1">
      <c r="B105" s="107"/>
      <c r="I105" s="167"/>
      <c r="L105" s="107"/>
    </row>
    <row r="106" spans="2:12" s="106" customFormat="1" ht="6.95" customHeight="1">
      <c r="B106" s="119"/>
      <c r="C106" s="120"/>
      <c r="D106" s="120"/>
      <c r="E106" s="120"/>
      <c r="F106" s="120"/>
      <c r="G106" s="120"/>
      <c r="H106" s="120"/>
      <c r="I106" s="192"/>
      <c r="J106" s="120"/>
      <c r="K106" s="120"/>
      <c r="L106" s="107"/>
    </row>
    <row r="110" spans="2:12" s="106" customFormat="1" ht="6.95" customHeight="1">
      <c r="B110" s="121"/>
      <c r="C110" s="122"/>
      <c r="D110" s="122"/>
      <c r="E110" s="122"/>
      <c r="F110" s="122"/>
      <c r="G110" s="122"/>
      <c r="H110" s="122"/>
      <c r="I110" s="193"/>
      <c r="J110" s="122"/>
      <c r="K110" s="122"/>
      <c r="L110" s="107"/>
    </row>
    <row r="111" spans="2:12" s="106" customFormat="1" ht="24.95" customHeight="1">
      <c r="B111" s="107"/>
      <c r="C111" s="96" t="s">
        <v>1</v>
      </c>
      <c r="I111" s="167"/>
      <c r="L111" s="107"/>
    </row>
    <row r="112" spans="2:12" s="106" customFormat="1" ht="6.95" customHeight="1">
      <c r="B112" s="107"/>
      <c r="I112" s="167"/>
      <c r="L112" s="107"/>
    </row>
    <row r="113" spans="2:65" s="106" customFormat="1" ht="12" customHeight="1">
      <c r="B113" s="107"/>
      <c r="C113" s="101" t="s">
        <v>700</v>
      </c>
      <c r="I113" s="167"/>
      <c r="L113" s="107"/>
    </row>
    <row r="114" spans="2:65" s="106" customFormat="1" ht="16.5" customHeight="1">
      <c r="B114" s="107"/>
      <c r="E114" s="337" t="str">
        <f>E7</f>
        <v>Lávka přes Labe v Nymburce - terénní a vegetační úpravy</v>
      </c>
      <c r="F114" s="338"/>
      <c r="G114" s="338"/>
      <c r="H114" s="338"/>
      <c r="I114" s="167"/>
      <c r="L114" s="107"/>
    </row>
    <row r="115" spans="2:65" s="106" customFormat="1" ht="12" customHeight="1">
      <c r="B115" s="107"/>
      <c r="C115" s="101" t="s">
        <v>777</v>
      </c>
      <c r="I115" s="167"/>
      <c r="L115" s="107"/>
    </row>
    <row r="116" spans="2:65" s="106" customFormat="1" ht="16.5" customHeight="1">
      <c r="B116" s="107"/>
      <c r="E116" s="315" t="str">
        <f>E9</f>
        <v>SO 801.2.1 - Založení vegetace</v>
      </c>
      <c r="F116" s="336"/>
      <c r="G116" s="336"/>
      <c r="H116" s="336"/>
      <c r="I116" s="167"/>
      <c r="L116" s="107"/>
    </row>
    <row r="117" spans="2:65" s="106" customFormat="1" ht="6.95" customHeight="1">
      <c r="B117" s="107"/>
      <c r="I117" s="167"/>
      <c r="L117" s="107"/>
    </row>
    <row r="118" spans="2:65" s="106" customFormat="1" ht="12" customHeight="1">
      <c r="B118" s="107"/>
      <c r="C118" s="101" t="s">
        <v>704</v>
      </c>
      <c r="F118" s="102" t="str">
        <f>F12</f>
        <v xml:space="preserve">Lávka </v>
      </c>
      <c r="I118" s="168" t="s">
        <v>706</v>
      </c>
      <c r="J118" s="169" t="str">
        <f>IF(J12="","",J12)</f>
        <v>21. 11. 2019</v>
      </c>
      <c r="L118" s="107"/>
    </row>
    <row r="119" spans="2:65" s="106" customFormat="1" ht="6.95" customHeight="1">
      <c r="B119" s="107"/>
      <c r="I119" s="167"/>
      <c r="L119" s="107"/>
    </row>
    <row r="120" spans="2:65" s="106" customFormat="1" ht="25.7" customHeight="1">
      <c r="B120" s="107"/>
      <c r="C120" s="101" t="s">
        <v>708</v>
      </c>
      <c r="F120" s="102" t="str">
        <f>E15</f>
        <v>Město Nymburk</v>
      </c>
      <c r="I120" s="168" t="s">
        <v>716</v>
      </c>
      <c r="J120" s="194" t="str">
        <f>E21</f>
        <v>Ing. Gabriela Mlatečková Čížková</v>
      </c>
      <c r="L120" s="107"/>
    </row>
    <row r="121" spans="2:65" s="106" customFormat="1" ht="25.7" customHeight="1">
      <c r="B121" s="107"/>
      <c r="C121" s="101" t="s">
        <v>714</v>
      </c>
      <c r="F121" s="102" t="str">
        <f>IF(E18="","",E18)</f>
        <v>Vyplň údaj</v>
      </c>
      <c r="I121" s="168" t="s">
        <v>721</v>
      </c>
      <c r="J121" s="194" t="str">
        <f>E24</f>
        <v>Ing. Gabriela Mlatečková Čížková</v>
      </c>
      <c r="L121" s="107"/>
    </row>
    <row r="122" spans="2:65" s="106" customFormat="1" ht="10.35" customHeight="1">
      <c r="B122" s="107"/>
      <c r="I122" s="167"/>
      <c r="L122" s="107"/>
    </row>
    <row r="123" spans="2:65" s="211" customFormat="1" ht="29.25" customHeight="1">
      <c r="B123" s="212"/>
      <c r="C123" s="213" t="s">
        <v>788</v>
      </c>
      <c r="D123" s="214" t="s">
        <v>746</v>
      </c>
      <c r="E123" s="214" t="s">
        <v>11</v>
      </c>
      <c r="F123" s="214" t="s">
        <v>502</v>
      </c>
      <c r="G123" s="214" t="s">
        <v>18</v>
      </c>
      <c r="H123" s="214" t="s">
        <v>537</v>
      </c>
      <c r="I123" s="215" t="s">
        <v>789</v>
      </c>
      <c r="J123" s="214" t="s">
        <v>781</v>
      </c>
      <c r="K123" s="216" t="s">
        <v>790</v>
      </c>
      <c r="L123" s="212"/>
      <c r="M123" s="134" t="s">
        <v>25</v>
      </c>
      <c r="N123" s="135" t="s">
        <v>727</v>
      </c>
      <c r="O123" s="135" t="s">
        <v>791</v>
      </c>
      <c r="P123" s="135" t="s">
        <v>792</v>
      </c>
      <c r="Q123" s="135" t="s">
        <v>793</v>
      </c>
      <c r="R123" s="135" t="s">
        <v>794</v>
      </c>
      <c r="S123" s="135" t="s">
        <v>795</v>
      </c>
      <c r="T123" s="136" t="s">
        <v>796</v>
      </c>
    </row>
    <row r="124" spans="2:65" s="106" customFormat="1" ht="22.9" customHeight="1">
      <c r="B124" s="107"/>
      <c r="C124" s="140" t="s">
        <v>797</v>
      </c>
      <c r="I124" s="167"/>
      <c r="J124" s="217">
        <f>BK124</f>
        <v>0</v>
      </c>
      <c r="L124" s="107"/>
      <c r="M124" s="137"/>
      <c r="N124" s="129"/>
      <c r="O124" s="129"/>
      <c r="P124" s="218">
        <f>P125</f>
        <v>0</v>
      </c>
      <c r="Q124" s="129"/>
      <c r="R124" s="218">
        <f>R125</f>
        <v>0.14949000000000001</v>
      </c>
      <c r="S124" s="129"/>
      <c r="T124" s="219">
        <f>T125</f>
        <v>0</v>
      </c>
      <c r="AT124" s="92" t="s">
        <v>549</v>
      </c>
      <c r="AU124" s="92" t="s">
        <v>783</v>
      </c>
      <c r="BK124" s="220">
        <f>BK125</f>
        <v>0</v>
      </c>
    </row>
    <row r="125" spans="2:65" s="221" customFormat="1" ht="25.9" customHeight="1">
      <c r="B125" s="222"/>
      <c r="D125" s="223" t="s">
        <v>549</v>
      </c>
      <c r="E125" s="224" t="s">
        <v>798</v>
      </c>
      <c r="F125" s="224" t="s">
        <v>798</v>
      </c>
      <c r="I125" s="225"/>
      <c r="J125" s="226">
        <f>BK125</f>
        <v>0</v>
      </c>
      <c r="L125" s="222"/>
      <c r="M125" s="227"/>
      <c r="P125" s="228">
        <f>P126+P165+P188+P211+P221+P232</f>
        <v>0</v>
      </c>
      <c r="R125" s="228">
        <f>R126+R165+R188+R211+R221+R232</f>
        <v>0.14949000000000001</v>
      </c>
      <c r="T125" s="229">
        <f>T126+T165+T188+T211+T221+T232</f>
        <v>0</v>
      </c>
      <c r="AR125" s="223" t="s">
        <v>767</v>
      </c>
      <c r="AT125" s="230" t="s">
        <v>549</v>
      </c>
      <c r="AU125" s="230" t="s">
        <v>760</v>
      </c>
      <c r="AY125" s="223" t="s">
        <v>800</v>
      </c>
      <c r="BK125" s="231">
        <f>BK126+BK165+BK188+BK211+BK221+BK232</f>
        <v>0</v>
      </c>
    </row>
    <row r="126" spans="2:65" s="221" customFormat="1" ht="22.9" customHeight="1">
      <c r="B126" s="222"/>
      <c r="D126" s="223" t="s">
        <v>549</v>
      </c>
      <c r="E126" s="232" t="s">
        <v>767</v>
      </c>
      <c r="F126" s="232" t="s">
        <v>921</v>
      </c>
      <c r="I126" s="225"/>
      <c r="J126" s="233">
        <f>BK126</f>
        <v>0</v>
      </c>
      <c r="L126" s="222"/>
      <c r="M126" s="227"/>
      <c r="P126" s="228">
        <f>SUM(P127:P164)</f>
        <v>0</v>
      </c>
      <c r="R126" s="228">
        <f>SUM(R127:R164)</f>
        <v>2.7E-4</v>
      </c>
      <c r="T126" s="229">
        <f>SUM(T127:T164)</f>
        <v>0</v>
      </c>
      <c r="AR126" s="223" t="s">
        <v>767</v>
      </c>
      <c r="AT126" s="230" t="s">
        <v>549</v>
      </c>
      <c r="AU126" s="230" t="s">
        <v>767</v>
      </c>
      <c r="AY126" s="223" t="s">
        <v>800</v>
      </c>
      <c r="BK126" s="231">
        <f>SUM(BK127:BK164)</f>
        <v>0</v>
      </c>
    </row>
    <row r="127" spans="2:65" s="106" customFormat="1" ht="16.5" customHeight="1">
      <c r="B127" s="107"/>
      <c r="C127" s="234" t="s">
        <v>767</v>
      </c>
      <c r="D127" s="234" t="s">
        <v>556</v>
      </c>
      <c r="E127" s="235" t="s">
        <v>922</v>
      </c>
      <c r="F127" s="236" t="s">
        <v>923</v>
      </c>
      <c r="G127" s="237" t="s">
        <v>559</v>
      </c>
      <c r="H127" s="238">
        <v>3</v>
      </c>
      <c r="I127" s="239"/>
      <c r="J127" s="240">
        <f>ROUND(I127*H127,2)</f>
        <v>0</v>
      </c>
      <c r="K127" s="236" t="s">
        <v>924</v>
      </c>
      <c r="L127" s="107"/>
      <c r="M127" s="241" t="s">
        <v>25</v>
      </c>
      <c r="N127" s="242" t="s">
        <v>728</v>
      </c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AR127" s="245" t="s">
        <v>806</v>
      </c>
      <c r="AT127" s="245" t="s">
        <v>556</v>
      </c>
      <c r="AU127" s="245" t="s">
        <v>769</v>
      </c>
      <c r="AY127" s="92" t="s">
        <v>800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92" t="s">
        <v>767</v>
      </c>
      <c r="BK127" s="246">
        <f>ROUND(I127*H127,2)</f>
        <v>0</v>
      </c>
      <c r="BL127" s="92" t="s">
        <v>806</v>
      </c>
      <c r="BM127" s="245" t="s">
        <v>925</v>
      </c>
    </row>
    <row r="128" spans="2:65" s="106" customFormat="1" ht="19.5">
      <c r="B128" s="107"/>
      <c r="D128" s="247" t="s">
        <v>808</v>
      </c>
      <c r="F128" s="248" t="s">
        <v>926</v>
      </c>
      <c r="I128" s="167"/>
      <c r="L128" s="107"/>
      <c r="M128" s="249"/>
      <c r="T128" s="131"/>
      <c r="AT128" s="92" t="s">
        <v>808</v>
      </c>
      <c r="AU128" s="92" t="s">
        <v>769</v>
      </c>
    </row>
    <row r="129" spans="2:65" s="106" customFormat="1" ht="16.5" customHeight="1">
      <c r="B129" s="107"/>
      <c r="C129" s="234" t="s">
        <v>769</v>
      </c>
      <c r="D129" s="234" t="s">
        <v>556</v>
      </c>
      <c r="E129" s="235" t="s">
        <v>927</v>
      </c>
      <c r="F129" s="236" t="s">
        <v>928</v>
      </c>
      <c r="G129" s="237" t="s">
        <v>559</v>
      </c>
      <c r="H129" s="238">
        <v>3</v>
      </c>
      <c r="I129" s="239"/>
      <c r="J129" s="240">
        <f>ROUND(I129*H129,2)</f>
        <v>0</v>
      </c>
      <c r="K129" s="236" t="s">
        <v>924</v>
      </c>
      <c r="L129" s="107"/>
      <c r="M129" s="241" t="s">
        <v>25</v>
      </c>
      <c r="N129" s="242" t="s">
        <v>728</v>
      </c>
      <c r="P129" s="243">
        <f>O129*H129</f>
        <v>0</v>
      </c>
      <c r="Q129" s="243">
        <v>0</v>
      </c>
      <c r="R129" s="243">
        <f>Q129*H129</f>
        <v>0</v>
      </c>
      <c r="S129" s="243">
        <v>0</v>
      </c>
      <c r="T129" s="244">
        <f>S129*H129</f>
        <v>0</v>
      </c>
      <c r="AR129" s="245" t="s">
        <v>806</v>
      </c>
      <c r="AT129" s="245" t="s">
        <v>556</v>
      </c>
      <c r="AU129" s="245" t="s">
        <v>769</v>
      </c>
      <c r="AY129" s="92" t="s">
        <v>800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92" t="s">
        <v>767</v>
      </c>
      <c r="BK129" s="246">
        <f>ROUND(I129*H129,2)</f>
        <v>0</v>
      </c>
      <c r="BL129" s="92" t="s">
        <v>806</v>
      </c>
      <c r="BM129" s="245" t="s">
        <v>929</v>
      </c>
    </row>
    <row r="130" spans="2:65" s="106" customFormat="1">
      <c r="B130" s="107"/>
      <c r="D130" s="247" t="s">
        <v>808</v>
      </c>
      <c r="F130" s="248" t="s">
        <v>930</v>
      </c>
      <c r="I130" s="167"/>
      <c r="L130" s="107"/>
      <c r="M130" s="249"/>
      <c r="T130" s="131"/>
      <c r="AT130" s="92" t="s">
        <v>808</v>
      </c>
      <c r="AU130" s="92" t="s">
        <v>769</v>
      </c>
    </row>
    <row r="131" spans="2:65" s="106" customFormat="1" ht="16.5" customHeight="1">
      <c r="B131" s="107"/>
      <c r="C131" s="234" t="s">
        <v>890</v>
      </c>
      <c r="D131" s="234" t="s">
        <v>556</v>
      </c>
      <c r="E131" s="235" t="s">
        <v>931</v>
      </c>
      <c r="F131" s="236" t="s">
        <v>932</v>
      </c>
      <c r="G131" s="237" t="s">
        <v>559</v>
      </c>
      <c r="H131" s="238">
        <v>3</v>
      </c>
      <c r="I131" s="239"/>
      <c r="J131" s="240">
        <f>ROUND(I131*H131,2)</f>
        <v>0</v>
      </c>
      <c r="K131" s="236" t="s">
        <v>924</v>
      </c>
      <c r="L131" s="107"/>
      <c r="M131" s="241" t="s">
        <v>25</v>
      </c>
      <c r="N131" s="242" t="s">
        <v>728</v>
      </c>
      <c r="P131" s="243">
        <f>O131*H131</f>
        <v>0</v>
      </c>
      <c r="Q131" s="243">
        <v>6.0000000000000002E-5</v>
      </c>
      <c r="R131" s="243">
        <f>Q131*H131</f>
        <v>1.8000000000000001E-4</v>
      </c>
      <c r="S131" s="243">
        <v>0</v>
      </c>
      <c r="T131" s="244">
        <f>S131*H131</f>
        <v>0</v>
      </c>
      <c r="AR131" s="245" t="s">
        <v>806</v>
      </c>
      <c r="AT131" s="245" t="s">
        <v>556</v>
      </c>
      <c r="AU131" s="245" t="s">
        <v>769</v>
      </c>
      <c r="AY131" s="92" t="s">
        <v>800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92" t="s">
        <v>767</v>
      </c>
      <c r="BK131" s="246">
        <f>ROUND(I131*H131,2)</f>
        <v>0</v>
      </c>
      <c r="BL131" s="92" t="s">
        <v>806</v>
      </c>
      <c r="BM131" s="245" t="s">
        <v>933</v>
      </c>
    </row>
    <row r="132" spans="2:65" s="106" customFormat="1">
      <c r="B132" s="107"/>
      <c r="D132" s="247" t="s">
        <v>808</v>
      </c>
      <c r="F132" s="248" t="s">
        <v>934</v>
      </c>
      <c r="I132" s="167"/>
      <c r="L132" s="107"/>
      <c r="M132" s="249"/>
      <c r="T132" s="131"/>
      <c r="AT132" s="92" t="s">
        <v>808</v>
      </c>
      <c r="AU132" s="92" t="s">
        <v>769</v>
      </c>
    </row>
    <row r="133" spans="2:65" s="106" customFormat="1" ht="16.5" customHeight="1">
      <c r="B133" s="107"/>
      <c r="C133" s="250" t="s">
        <v>806</v>
      </c>
      <c r="D133" s="250" t="s">
        <v>64</v>
      </c>
      <c r="E133" s="251" t="s">
        <v>935</v>
      </c>
      <c r="F133" s="252" t="s">
        <v>936</v>
      </c>
      <c r="G133" s="253" t="s">
        <v>559</v>
      </c>
      <c r="H133" s="254">
        <v>9</v>
      </c>
      <c r="I133" s="255"/>
      <c r="J133" s="256">
        <f>ROUND(I133*H133,2)</f>
        <v>0</v>
      </c>
      <c r="K133" s="252" t="s">
        <v>25</v>
      </c>
      <c r="L133" s="257"/>
      <c r="M133" s="258" t="s">
        <v>25</v>
      </c>
      <c r="N133" s="259" t="s">
        <v>728</v>
      </c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AR133" s="245" t="s">
        <v>812</v>
      </c>
      <c r="AT133" s="245" t="s">
        <v>64</v>
      </c>
      <c r="AU133" s="245" t="s">
        <v>769</v>
      </c>
      <c r="AY133" s="92" t="s">
        <v>800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92" t="s">
        <v>767</v>
      </c>
      <c r="BK133" s="246">
        <f>ROUND(I133*H133,2)</f>
        <v>0</v>
      </c>
      <c r="BL133" s="92" t="s">
        <v>806</v>
      </c>
      <c r="BM133" s="245" t="s">
        <v>937</v>
      </c>
    </row>
    <row r="134" spans="2:65" s="106" customFormat="1">
      <c r="B134" s="107"/>
      <c r="D134" s="247" t="s">
        <v>808</v>
      </c>
      <c r="F134" s="248" t="s">
        <v>938</v>
      </c>
      <c r="I134" s="167"/>
      <c r="L134" s="107"/>
      <c r="M134" s="249"/>
      <c r="T134" s="131"/>
      <c r="AT134" s="92" t="s">
        <v>808</v>
      </c>
      <c r="AU134" s="92" t="s">
        <v>769</v>
      </c>
    </row>
    <row r="135" spans="2:65" s="260" customFormat="1">
      <c r="B135" s="261"/>
      <c r="D135" s="247" t="s">
        <v>815</v>
      </c>
      <c r="E135" s="262" t="s">
        <v>25</v>
      </c>
      <c r="F135" s="263" t="s">
        <v>939</v>
      </c>
      <c r="H135" s="264">
        <v>9</v>
      </c>
      <c r="I135" s="265"/>
      <c r="L135" s="261"/>
      <c r="M135" s="266"/>
      <c r="T135" s="267"/>
      <c r="AT135" s="262" t="s">
        <v>815</v>
      </c>
      <c r="AU135" s="262" t="s">
        <v>769</v>
      </c>
      <c r="AV135" s="260" t="s">
        <v>769</v>
      </c>
      <c r="AW135" s="260" t="s">
        <v>720</v>
      </c>
      <c r="AX135" s="260" t="s">
        <v>767</v>
      </c>
      <c r="AY135" s="262" t="s">
        <v>800</v>
      </c>
    </row>
    <row r="136" spans="2:65" s="106" customFormat="1" ht="16.5" customHeight="1">
      <c r="B136" s="107"/>
      <c r="C136" s="250" t="s">
        <v>802</v>
      </c>
      <c r="D136" s="250" t="s">
        <v>64</v>
      </c>
      <c r="E136" s="251" t="s">
        <v>940</v>
      </c>
      <c r="F136" s="252" t="s">
        <v>941</v>
      </c>
      <c r="G136" s="253" t="s">
        <v>559</v>
      </c>
      <c r="H136" s="254">
        <v>3</v>
      </c>
      <c r="I136" s="255"/>
      <c r="J136" s="256">
        <f>ROUND(I136*H136,2)</f>
        <v>0</v>
      </c>
      <c r="K136" s="252" t="s">
        <v>25</v>
      </c>
      <c r="L136" s="257"/>
      <c r="M136" s="258" t="s">
        <v>25</v>
      </c>
      <c r="N136" s="259" t="s">
        <v>728</v>
      </c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AR136" s="245" t="s">
        <v>812</v>
      </c>
      <c r="AT136" s="245" t="s">
        <v>64</v>
      </c>
      <c r="AU136" s="245" t="s">
        <v>769</v>
      </c>
      <c r="AY136" s="92" t="s">
        <v>800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92" t="s">
        <v>767</v>
      </c>
      <c r="BK136" s="246">
        <f>ROUND(I136*H136,2)</f>
        <v>0</v>
      </c>
      <c r="BL136" s="92" t="s">
        <v>806</v>
      </c>
      <c r="BM136" s="245" t="s">
        <v>942</v>
      </c>
    </row>
    <row r="137" spans="2:65" s="106" customFormat="1">
      <c r="B137" s="107"/>
      <c r="D137" s="247" t="s">
        <v>808</v>
      </c>
      <c r="F137" s="248" t="s">
        <v>943</v>
      </c>
      <c r="I137" s="167"/>
      <c r="L137" s="107"/>
      <c r="M137" s="249"/>
      <c r="T137" s="131"/>
      <c r="AT137" s="92" t="s">
        <v>808</v>
      </c>
      <c r="AU137" s="92" t="s">
        <v>769</v>
      </c>
    </row>
    <row r="138" spans="2:65" s="260" customFormat="1">
      <c r="B138" s="261"/>
      <c r="D138" s="247" t="s">
        <v>815</v>
      </c>
      <c r="E138" s="262" t="s">
        <v>25</v>
      </c>
      <c r="F138" s="263" t="s">
        <v>944</v>
      </c>
      <c r="H138" s="264">
        <v>3</v>
      </c>
      <c r="I138" s="265"/>
      <c r="L138" s="261"/>
      <c r="M138" s="266"/>
      <c r="T138" s="267"/>
      <c r="AT138" s="262" t="s">
        <v>815</v>
      </c>
      <c r="AU138" s="262" t="s">
        <v>769</v>
      </c>
      <c r="AV138" s="260" t="s">
        <v>769</v>
      </c>
      <c r="AW138" s="260" t="s">
        <v>720</v>
      </c>
      <c r="AX138" s="260" t="s">
        <v>767</v>
      </c>
      <c r="AY138" s="262" t="s">
        <v>800</v>
      </c>
    </row>
    <row r="139" spans="2:65" s="106" customFormat="1" ht="16.5" customHeight="1">
      <c r="B139" s="107"/>
      <c r="C139" s="234" t="s">
        <v>877</v>
      </c>
      <c r="D139" s="234" t="s">
        <v>556</v>
      </c>
      <c r="E139" s="235" t="s">
        <v>945</v>
      </c>
      <c r="F139" s="236" t="s">
        <v>946</v>
      </c>
      <c r="G139" s="237" t="s">
        <v>559</v>
      </c>
      <c r="H139" s="238">
        <v>3</v>
      </c>
      <c r="I139" s="239"/>
      <c r="J139" s="240">
        <f>ROUND(I139*H139,2)</f>
        <v>0</v>
      </c>
      <c r="K139" s="236" t="s">
        <v>947</v>
      </c>
      <c r="L139" s="107"/>
      <c r="M139" s="241" t="s">
        <v>25</v>
      </c>
      <c r="N139" s="242" t="s">
        <v>728</v>
      </c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AR139" s="245" t="s">
        <v>806</v>
      </c>
      <c r="AT139" s="245" t="s">
        <v>556</v>
      </c>
      <c r="AU139" s="245" t="s">
        <v>769</v>
      </c>
      <c r="AY139" s="92" t="s">
        <v>800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92" t="s">
        <v>767</v>
      </c>
      <c r="BK139" s="246">
        <f>ROUND(I139*H139,2)</f>
        <v>0</v>
      </c>
      <c r="BL139" s="92" t="s">
        <v>806</v>
      </c>
      <c r="BM139" s="245" t="s">
        <v>948</v>
      </c>
    </row>
    <row r="140" spans="2:65" s="106" customFormat="1">
      <c r="B140" s="107"/>
      <c r="D140" s="247" t="s">
        <v>808</v>
      </c>
      <c r="F140" s="248" t="s">
        <v>949</v>
      </c>
      <c r="I140" s="167"/>
      <c r="L140" s="107"/>
      <c r="M140" s="249"/>
      <c r="T140" s="131"/>
      <c r="AT140" s="92" t="s">
        <v>808</v>
      </c>
      <c r="AU140" s="92" t="s">
        <v>769</v>
      </c>
    </row>
    <row r="141" spans="2:65" s="106" customFormat="1" ht="16.5" customHeight="1">
      <c r="B141" s="107"/>
      <c r="C141" s="234" t="s">
        <v>845</v>
      </c>
      <c r="D141" s="234" t="s">
        <v>556</v>
      </c>
      <c r="E141" s="235" t="s">
        <v>950</v>
      </c>
      <c r="F141" s="236" t="s">
        <v>951</v>
      </c>
      <c r="G141" s="237" t="s">
        <v>559</v>
      </c>
      <c r="H141" s="238">
        <v>3</v>
      </c>
      <c r="I141" s="239"/>
      <c r="J141" s="240">
        <f>ROUND(I141*H141,2)</f>
        <v>0</v>
      </c>
      <c r="K141" s="236" t="s">
        <v>924</v>
      </c>
      <c r="L141" s="107"/>
      <c r="M141" s="241" t="s">
        <v>25</v>
      </c>
      <c r="N141" s="242" t="s">
        <v>728</v>
      </c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AR141" s="245" t="s">
        <v>806</v>
      </c>
      <c r="AT141" s="245" t="s">
        <v>556</v>
      </c>
      <c r="AU141" s="245" t="s">
        <v>769</v>
      </c>
      <c r="AY141" s="92" t="s">
        <v>800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92" t="s">
        <v>767</v>
      </c>
      <c r="BK141" s="246">
        <f>ROUND(I141*H141,2)</f>
        <v>0</v>
      </c>
      <c r="BL141" s="92" t="s">
        <v>806</v>
      </c>
      <c r="BM141" s="245" t="s">
        <v>952</v>
      </c>
    </row>
    <row r="142" spans="2:65" s="106" customFormat="1">
      <c r="B142" s="107"/>
      <c r="D142" s="247" t="s">
        <v>808</v>
      </c>
      <c r="F142" s="248" t="s">
        <v>953</v>
      </c>
      <c r="I142" s="167"/>
      <c r="L142" s="107"/>
      <c r="M142" s="249"/>
      <c r="T142" s="131"/>
      <c r="AT142" s="92" t="s">
        <v>808</v>
      </c>
      <c r="AU142" s="92" t="s">
        <v>769</v>
      </c>
    </row>
    <row r="143" spans="2:65" s="106" customFormat="1" ht="16.5" customHeight="1">
      <c r="B143" s="107"/>
      <c r="C143" s="234" t="s">
        <v>861</v>
      </c>
      <c r="D143" s="234" t="s">
        <v>556</v>
      </c>
      <c r="E143" s="235" t="s">
        <v>954</v>
      </c>
      <c r="F143" s="236" t="s">
        <v>955</v>
      </c>
      <c r="G143" s="237" t="s">
        <v>559</v>
      </c>
      <c r="H143" s="238">
        <v>3</v>
      </c>
      <c r="I143" s="239"/>
      <c r="J143" s="240">
        <f>ROUND(I143*H143,2)</f>
        <v>0</v>
      </c>
      <c r="K143" s="236" t="s">
        <v>956</v>
      </c>
      <c r="L143" s="107"/>
      <c r="M143" s="241" t="s">
        <v>25</v>
      </c>
      <c r="N143" s="242" t="s">
        <v>728</v>
      </c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AR143" s="245" t="s">
        <v>806</v>
      </c>
      <c r="AT143" s="245" t="s">
        <v>556</v>
      </c>
      <c r="AU143" s="245" t="s">
        <v>769</v>
      </c>
      <c r="AY143" s="92" t="s">
        <v>800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92" t="s">
        <v>767</v>
      </c>
      <c r="BK143" s="246">
        <f>ROUND(I143*H143,2)</f>
        <v>0</v>
      </c>
      <c r="BL143" s="92" t="s">
        <v>806</v>
      </c>
      <c r="BM143" s="245" t="s">
        <v>957</v>
      </c>
    </row>
    <row r="144" spans="2:65" s="106" customFormat="1">
      <c r="B144" s="107"/>
      <c r="D144" s="247" t="s">
        <v>808</v>
      </c>
      <c r="F144" s="248" t="s">
        <v>958</v>
      </c>
      <c r="I144" s="167"/>
      <c r="L144" s="107"/>
      <c r="M144" s="249"/>
      <c r="T144" s="131"/>
      <c r="AT144" s="92" t="s">
        <v>808</v>
      </c>
      <c r="AU144" s="92" t="s">
        <v>769</v>
      </c>
    </row>
    <row r="145" spans="2:65" s="106" customFormat="1" ht="16.5" customHeight="1">
      <c r="B145" s="107"/>
      <c r="C145" s="250" t="s">
        <v>910</v>
      </c>
      <c r="D145" s="250" t="s">
        <v>64</v>
      </c>
      <c r="E145" s="251" t="s">
        <v>959</v>
      </c>
      <c r="F145" s="252" t="s">
        <v>960</v>
      </c>
      <c r="G145" s="253" t="s">
        <v>559</v>
      </c>
      <c r="H145" s="254">
        <v>36</v>
      </c>
      <c r="I145" s="255"/>
      <c r="J145" s="256">
        <f>ROUND(I145*H145,2)</f>
        <v>0</v>
      </c>
      <c r="K145" s="252" t="s">
        <v>25</v>
      </c>
      <c r="L145" s="257"/>
      <c r="M145" s="258" t="s">
        <v>25</v>
      </c>
      <c r="N145" s="259" t="s">
        <v>728</v>
      </c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AR145" s="245" t="s">
        <v>812</v>
      </c>
      <c r="AT145" s="245" t="s">
        <v>64</v>
      </c>
      <c r="AU145" s="245" t="s">
        <v>769</v>
      </c>
      <c r="AY145" s="92" t="s">
        <v>800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92" t="s">
        <v>767</v>
      </c>
      <c r="BK145" s="246">
        <f>ROUND(I145*H145,2)</f>
        <v>0</v>
      </c>
      <c r="BL145" s="92" t="s">
        <v>806</v>
      </c>
      <c r="BM145" s="245" t="s">
        <v>961</v>
      </c>
    </row>
    <row r="146" spans="2:65" s="106" customFormat="1">
      <c r="B146" s="107"/>
      <c r="D146" s="247" t="s">
        <v>808</v>
      </c>
      <c r="F146" s="248" t="s">
        <v>960</v>
      </c>
      <c r="I146" s="167"/>
      <c r="L146" s="107"/>
      <c r="M146" s="249"/>
      <c r="T146" s="131"/>
      <c r="AT146" s="92" t="s">
        <v>808</v>
      </c>
      <c r="AU146" s="92" t="s">
        <v>769</v>
      </c>
    </row>
    <row r="147" spans="2:65" s="260" customFormat="1">
      <c r="B147" s="261"/>
      <c r="D147" s="247" t="s">
        <v>815</v>
      </c>
      <c r="E147" s="262" t="s">
        <v>25</v>
      </c>
      <c r="F147" s="263" t="s">
        <v>962</v>
      </c>
      <c r="H147" s="264">
        <v>36</v>
      </c>
      <c r="I147" s="265"/>
      <c r="L147" s="261"/>
      <c r="M147" s="266"/>
      <c r="T147" s="267"/>
      <c r="AT147" s="262" t="s">
        <v>815</v>
      </c>
      <c r="AU147" s="262" t="s">
        <v>769</v>
      </c>
      <c r="AV147" s="260" t="s">
        <v>769</v>
      </c>
      <c r="AW147" s="260" t="s">
        <v>720</v>
      </c>
      <c r="AX147" s="260" t="s">
        <v>767</v>
      </c>
      <c r="AY147" s="262" t="s">
        <v>800</v>
      </c>
    </row>
    <row r="148" spans="2:65" s="106" customFormat="1" ht="16.5" customHeight="1">
      <c r="B148" s="107"/>
      <c r="C148" s="234" t="s">
        <v>868</v>
      </c>
      <c r="D148" s="234" t="s">
        <v>556</v>
      </c>
      <c r="E148" s="235" t="s">
        <v>963</v>
      </c>
      <c r="F148" s="236" t="s">
        <v>964</v>
      </c>
      <c r="G148" s="237" t="s">
        <v>620</v>
      </c>
      <c r="H148" s="238">
        <v>0.3</v>
      </c>
      <c r="I148" s="239"/>
      <c r="J148" s="240">
        <f>ROUND(I148*H148,2)</f>
        <v>0</v>
      </c>
      <c r="K148" s="236" t="s">
        <v>924</v>
      </c>
      <c r="L148" s="107"/>
      <c r="M148" s="241" t="s">
        <v>25</v>
      </c>
      <c r="N148" s="242" t="s">
        <v>728</v>
      </c>
      <c r="P148" s="243">
        <f>O148*H148</f>
        <v>0</v>
      </c>
      <c r="Q148" s="243">
        <v>0</v>
      </c>
      <c r="R148" s="243">
        <f>Q148*H148</f>
        <v>0</v>
      </c>
      <c r="S148" s="243">
        <v>0</v>
      </c>
      <c r="T148" s="244">
        <f>S148*H148</f>
        <v>0</v>
      </c>
      <c r="AR148" s="245" t="s">
        <v>806</v>
      </c>
      <c r="AT148" s="245" t="s">
        <v>556</v>
      </c>
      <c r="AU148" s="245" t="s">
        <v>769</v>
      </c>
      <c r="AY148" s="92" t="s">
        <v>800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92" t="s">
        <v>767</v>
      </c>
      <c r="BK148" s="246">
        <f>ROUND(I148*H148,2)</f>
        <v>0</v>
      </c>
      <c r="BL148" s="92" t="s">
        <v>806</v>
      </c>
      <c r="BM148" s="245" t="s">
        <v>965</v>
      </c>
    </row>
    <row r="149" spans="2:65" s="106" customFormat="1">
      <c r="B149" s="107"/>
      <c r="D149" s="247" t="s">
        <v>808</v>
      </c>
      <c r="F149" s="248" t="s">
        <v>964</v>
      </c>
      <c r="I149" s="167"/>
      <c r="L149" s="107"/>
      <c r="M149" s="249"/>
      <c r="T149" s="131"/>
      <c r="AT149" s="92" t="s">
        <v>808</v>
      </c>
      <c r="AU149" s="92" t="s">
        <v>769</v>
      </c>
    </row>
    <row r="150" spans="2:65" s="260" customFormat="1">
      <c r="B150" s="261"/>
      <c r="D150" s="247" t="s">
        <v>815</v>
      </c>
      <c r="E150" s="262" t="s">
        <v>25</v>
      </c>
      <c r="F150" s="263" t="s">
        <v>966</v>
      </c>
      <c r="H150" s="264">
        <v>0.3</v>
      </c>
      <c r="I150" s="265"/>
      <c r="L150" s="261"/>
      <c r="M150" s="266"/>
      <c r="T150" s="267"/>
      <c r="AT150" s="262" t="s">
        <v>815</v>
      </c>
      <c r="AU150" s="262" t="s">
        <v>769</v>
      </c>
      <c r="AV150" s="260" t="s">
        <v>769</v>
      </c>
      <c r="AW150" s="260" t="s">
        <v>720</v>
      </c>
      <c r="AX150" s="260" t="s">
        <v>767</v>
      </c>
      <c r="AY150" s="262" t="s">
        <v>800</v>
      </c>
    </row>
    <row r="151" spans="2:65" s="106" customFormat="1" ht="16.5" customHeight="1">
      <c r="B151" s="107"/>
      <c r="C151" s="234" t="s">
        <v>873</v>
      </c>
      <c r="D151" s="234" t="s">
        <v>556</v>
      </c>
      <c r="E151" s="235" t="s">
        <v>963</v>
      </c>
      <c r="F151" s="236" t="s">
        <v>964</v>
      </c>
      <c r="G151" s="237" t="s">
        <v>620</v>
      </c>
      <c r="H151" s="238">
        <v>0.3</v>
      </c>
      <c r="I151" s="239"/>
      <c r="J151" s="240">
        <f>ROUND(I151*H151,2)</f>
        <v>0</v>
      </c>
      <c r="K151" s="236" t="s">
        <v>924</v>
      </c>
      <c r="L151" s="107"/>
      <c r="M151" s="241" t="s">
        <v>25</v>
      </c>
      <c r="N151" s="242" t="s">
        <v>728</v>
      </c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AR151" s="245" t="s">
        <v>806</v>
      </c>
      <c r="AT151" s="245" t="s">
        <v>556</v>
      </c>
      <c r="AU151" s="245" t="s">
        <v>769</v>
      </c>
      <c r="AY151" s="92" t="s">
        <v>800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92" t="s">
        <v>767</v>
      </c>
      <c r="BK151" s="246">
        <f>ROUND(I151*H151,2)</f>
        <v>0</v>
      </c>
      <c r="BL151" s="92" t="s">
        <v>806</v>
      </c>
      <c r="BM151" s="245" t="s">
        <v>967</v>
      </c>
    </row>
    <row r="152" spans="2:65" s="106" customFormat="1">
      <c r="B152" s="107"/>
      <c r="D152" s="247" t="s">
        <v>808</v>
      </c>
      <c r="F152" s="248" t="s">
        <v>964</v>
      </c>
      <c r="I152" s="167"/>
      <c r="L152" s="107"/>
      <c r="M152" s="249"/>
      <c r="T152" s="131"/>
      <c r="AT152" s="92" t="s">
        <v>808</v>
      </c>
      <c r="AU152" s="92" t="s">
        <v>769</v>
      </c>
    </row>
    <row r="153" spans="2:65" s="106" customFormat="1" ht="16.5" customHeight="1">
      <c r="B153" s="107"/>
      <c r="C153" s="234" t="s">
        <v>850</v>
      </c>
      <c r="D153" s="234" t="s">
        <v>556</v>
      </c>
      <c r="E153" s="235" t="s">
        <v>963</v>
      </c>
      <c r="F153" s="236" t="s">
        <v>964</v>
      </c>
      <c r="G153" s="237" t="s">
        <v>620</v>
      </c>
      <c r="H153" s="238">
        <v>0.3</v>
      </c>
      <c r="I153" s="239"/>
      <c r="J153" s="240">
        <f>ROUND(I153*H153,2)</f>
        <v>0</v>
      </c>
      <c r="K153" s="236" t="s">
        <v>924</v>
      </c>
      <c r="L153" s="107"/>
      <c r="M153" s="241" t="s">
        <v>25</v>
      </c>
      <c r="N153" s="242" t="s">
        <v>728</v>
      </c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AR153" s="245" t="s">
        <v>806</v>
      </c>
      <c r="AT153" s="245" t="s">
        <v>556</v>
      </c>
      <c r="AU153" s="245" t="s">
        <v>769</v>
      </c>
      <c r="AY153" s="92" t="s">
        <v>800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92" t="s">
        <v>767</v>
      </c>
      <c r="BK153" s="246">
        <f>ROUND(I153*H153,2)</f>
        <v>0</v>
      </c>
      <c r="BL153" s="92" t="s">
        <v>806</v>
      </c>
      <c r="BM153" s="245" t="s">
        <v>968</v>
      </c>
    </row>
    <row r="154" spans="2:65" s="106" customFormat="1">
      <c r="B154" s="107"/>
      <c r="D154" s="247" t="s">
        <v>808</v>
      </c>
      <c r="F154" s="248" t="s">
        <v>964</v>
      </c>
      <c r="I154" s="167"/>
      <c r="L154" s="107"/>
      <c r="M154" s="249"/>
      <c r="T154" s="131"/>
      <c r="AT154" s="92" t="s">
        <v>808</v>
      </c>
      <c r="AU154" s="92" t="s">
        <v>769</v>
      </c>
    </row>
    <row r="155" spans="2:65" s="106" customFormat="1" ht="16.5" customHeight="1">
      <c r="B155" s="107"/>
      <c r="C155" s="234" t="s">
        <v>692</v>
      </c>
      <c r="D155" s="234" t="s">
        <v>556</v>
      </c>
      <c r="E155" s="235" t="s">
        <v>969</v>
      </c>
      <c r="F155" s="236" t="s">
        <v>970</v>
      </c>
      <c r="G155" s="237" t="s">
        <v>559</v>
      </c>
      <c r="H155" s="238">
        <v>3</v>
      </c>
      <c r="I155" s="239"/>
      <c r="J155" s="240">
        <f>ROUND(I155*H155,2)</f>
        <v>0</v>
      </c>
      <c r="K155" s="236" t="s">
        <v>25</v>
      </c>
      <c r="L155" s="107"/>
      <c r="M155" s="241" t="s">
        <v>25</v>
      </c>
      <c r="N155" s="242" t="s">
        <v>728</v>
      </c>
      <c r="P155" s="243">
        <f>O155*H155</f>
        <v>0</v>
      </c>
      <c r="Q155" s="243">
        <v>3.0000000000000001E-5</v>
      </c>
      <c r="R155" s="243">
        <f>Q155*H155</f>
        <v>9.0000000000000006E-5</v>
      </c>
      <c r="S155" s="243">
        <v>0</v>
      </c>
      <c r="T155" s="244">
        <f>S155*H155</f>
        <v>0</v>
      </c>
      <c r="AR155" s="245" t="s">
        <v>806</v>
      </c>
      <c r="AT155" s="245" t="s">
        <v>556</v>
      </c>
      <c r="AU155" s="245" t="s">
        <v>769</v>
      </c>
      <c r="AY155" s="92" t="s">
        <v>800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92" t="s">
        <v>767</v>
      </c>
      <c r="BK155" s="246">
        <f>ROUND(I155*H155,2)</f>
        <v>0</v>
      </c>
      <c r="BL155" s="92" t="s">
        <v>806</v>
      </c>
      <c r="BM155" s="245" t="s">
        <v>971</v>
      </c>
    </row>
    <row r="156" spans="2:65" s="106" customFormat="1">
      <c r="B156" s="107"/>
      <c r="D156" s="247" t="s">
        <v>808</v>
      </c>
      <c r="F156" s="248" t="s">
        <v>972</v>
      </c>
      <c r="I156" s="167"/>
      <c r="L156" s="107"/>
      <c r="M156" s="249"/>
      <c r="T156" s="131"/>
      <c r="AT156" s="92" t="s">
        <v>808</v>
      </c>
      <c r="AU156" s="92" t="s">
        <v>769</v>
      </c>
    </row>
    <row r="157" spans="2:65" s="106" customFormat="1" ht="16.5" customHeight="1">
      <c r="B157" s="107"/>
      <c r="C157" s="250" t="s">
        <v>887</v>
      </c>
      <c r="D157" s="250" t="s">
        <v>64</v>
      </c>
      <c r="E157" s="251" t="s">
        <v>973</v>
      </c>
      <c r="F157" s="252" t="s">
        <v>974</v>
      </c>
      <c r="G157" s="253" t="s">
        <v>593</v>
      </c>
      <c r="H157" s="254">
        <v>1.5</v>
      </c>
      <c r="I157" s="255"/>
      <c r="J157" s="256">
        <f>ROUND(I157*H157,2)</f>
        <v>0</v>
      </c>
      <c r="K157" s="252" t="s">
        <v>25</v>
      </c>
      <c r="L157" s="257"/>
      <c r="M157" s="258" t="s">
        <v>25</v>
      </c>
      <c r="N157" s="259" t="s">
        <v>728</v>
      </c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AR157" s="245" t="s">
        <v>812</v>
      </c>
      <c r="AT157" s="245" t="s">
        <v>64</v>
      </c>
      <c r="AU157" s="245" t="s">
        <v>769</v>
      </c>
      <c r="AY157" s="92" t="s">
        <v>800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92" t="s">
        <v>767</v>
      </c>
      <c r="BK157" s="246">
        <f>ROUND(I157*H157,2)</f>
        <v>0</v>
      </c>
      <c r="BL157" s="92" t="s">
        <v>806</v>
      </c>
      <c r="BM157" s="245" t="s">
        <v>975</v>
      </c>
    </row>
    <row r="158" spans="2:65" s="106" customFormat="1">
      <c r="B158" s="107"/>
      <c r="D158" s="247" t="s">
        <v>808</v>
      </c>
      <c r="F158" s="248" t="s">
        <v>974</v>
      </c>
      <c r="I158" s="167"/>
      <c r="L158" s="107"/>
      <c r="M158" s="249"/>
      <c r="T158" s="131"/>
      <c r="AT158" s="92" t="s">
        <v>808</v>
      </c>
      <c r="AU158" s="92" t="s">
        <v>769</v>
      </c>
    </row>
    <row r="159" spans="2:65" s="260" customFormat="1">
      <c r="B159" s="261"/>
      <c r="D159" s="247" t="s">
        <v>815</v>
      </c>
      <c r="E159" s="262" t="s">
        <v>25</v>
      </c>
      <c r="F159" s="263" t="s">
        <v>976</v>
      </c>
      <c r="H159" s="264">
        <v>1.5</v>
      </c>
      <c r="I159" s="265"/>
      <c r="L159" s="261"/>
      <c r="M159" s="266"/>
      <c r="T159" s="267"/>
      <c r="AT159" s="262" t="s">
        <v>815</v>
      </c>
      <c r="AU159" s="262" t="s">
        <v>769</v>
      </c>
      <c r="AV159" s="260" t="s">
        <v>769</v>
      </c>
      <c r="AW159" s="260" t="s">
        <v>720</v>
      </c>
      <c r="AX159" s="260" t="s">
        <v>767</v>
      </c>
      <c r="AY159" s="262" t="s">
        <v>800</v>
      </c>
    </row>
    <row r="160" spans="2:65" s="106" customFormat="1" ht="16.5" customHeight="1">
      <c r="B160" s="107"/>
      <c r="C160" s="250" t="s">
        <v>892</v>
      </c>
      <c r="D160" s="250" t="s">
        <v>64</v>
      </c>
      <c r="E160" s="251" t="s">
        <v>977</v>
      </c>
      <c r="F160" s="252" t="s">
        <v>978</v>
      </c>
      <c r="G160" s="253" t="s">
        <v>559</v>
      </c>
      <c r="H160" s="254">
        <v>1</v>
      </c>
      <c r="I160" s="255"/>
      <c r="J160" s="256">
        <f>ROUND(I160*H160,2)</f>
        <v>0</v>
      </c>
      <c r="K160" s="252" t="s">
        <v>25</v>
      </c>
      <c r="L160" s="257"/>
      <c r="M160" s="258" t="s">
        <v>25</v>
      </c>
      <c r="N160" s="259" t="s">
        <v>728</v>
      </c>
      <c r="P160" s="243">
        <f>O160*H160</f>
        <v>0</v>
      </c>
      <c r="Q160" s="243">
        <v>0</v>
      </c>
      <c r="R160" s="243">
        <f>Q160*H160</f>
        <v>0</v>
      </c>
      <c r="S160" s="243">
        <v>0</v>
      </c>
      <c r="T160" s="244">
        <f>S160*H160</f>
        <v>0</v>
      </c>
      <c r="AR160" s="245" t="s">
        <v>812</v>
      </c>
      <c r="AT160" s="245" t="s">
        <v>64</v>
      </c>
      <c r="AU160" s="245" t="s">
        <v>769</v>
      </c>
      <c r="AY160" s="92" t="s">
        <v>800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92" t="s">
        <v>767</v>
      </c>
      <c r="BK160" s="246">
        <f>ROUND(I160*H160,2)</f>
        <v>0</v>
      </c>
      <c r="BL160" s="92" t="s">
        <v>806</v>
      </c>
      <c r="BM160" s="245" t="s">
        <v>979</v>
      </c>
    </row>
    <row r="161" spans="2:65" s="106" customFormat="1" ht="16.5" customHeight="1">
      <c r="B161" s="107"/>
      <c r="C161" s="250" t="s">
        <v>898</v>
      </c>
      <c r="D161" s="250" t="s">
        <v>64</v>
      </c>
      <c r="E161" s="251" t="s">
        <v>980</v>
      </c>
      <c r="F161" s="252" t="s">
        <v>981</v>
      </c>
      <c r="G161" s="253" t="s">
        <v>559</v>
      </c>
      <c r="H161" s="254">
        <v>1</v>
      </c>
      <c r="I161" s="255"/>
      <c r="J161" s="256">
        <f>ROUND(I161*H161,2)</f>
        <v>0</v>
      </c>
      <c r="K161" s="252" t="s">
        <v>25</v>
      </c>
      <c r="L161" s="257"/>
      <c r="M161" s="258" t="s">
        <v>25</v>
      </c>
      <c r="N161" s="259" t="s">
        <v>728</v>
      </c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AR161" s="245" t="s">
        <v>812</v>
      </c>
      <c r="AT161" s="245" t="s">
        <v>64</v>
      </c>
      <c r="AU161" s="245" t="s">
        <v>769</v>
      </c>
      <c r="AY161" s="92" t="s">
        <v>800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92" t="s">
        <v>767</v>
      </c>
      <c r="BK161" s="246">
        <f>ROUND(I161*H161,2)</f>
        <v>0</v>
      </c>
      <c r="BL161" s="92" t="s">
        <v>806</v>
      </c>
      <c r="BM161" s="245" t="s">
        <v>982</v>
      </c>
    </row>
    <row r="162" spans="2:65" s="106" customFormat="1">
      <c r="B162" s="107"/>
      <c r="D162" s="247" t="s">
        <v>808</v>
      </c>
      <c r="F162" s="248" t="s">
        <v>983</v>
      </c>
      <c r="I162" s="167"/>
      <c r="L162" s="107"/>
      <c r="M162" s="249"/>
      <c r="T162" s="131"/>
      <c r="AT162" s="92" t="s">
        <v>808</v>
      </c>
      <c r="AU162" s="92" t="s">
        <v>769</v>
      </c>
    </row>
    <row r="163" spans="2:65" s="106" customFormat="1" ht="16.5" customHeight="1">
      <c r="B163" s="107"/>
      <c r="C163" s="250" t="s">
        <v>904</v>
      </c>
      <c r="D163" s="250" t="s">
        <v>64</v>
      </c>
      <c r="E163" s="251" t="s">
        <v>984</v>
      </c>
      <c r="F163" s="252" t="s">
        <v>985</v>
      </c>
      <c r="G163" s="253" t="s">
        <v>559</v>
      </c>
      <c r="H163" s="254">
        <v>1</v>
      </c>
      <c r="I163" s="255"/>
      <c r="J163" s="256">
        <f>ROUND(I163*H163,2)</f>
        <v>0</v>
      </c>
      <c r="K163" s="252" t="s">
        <v>25</v>
      </c>
      <c r="L163" s="257"/>
      <c r="M163" s="258" t="s">
        <v>25</v>
      </c>
      <c r="N163" s="259" t="s">
        <v>728</v>
      </c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AR163" s="245" t="s">
        <v>812</v>
      </c>
      <c r="AT163" s="245" t="s">
        <v>64</v>
      </c>
      <c r="AU163" s="245" t="s">
        <v>769</v>
      </c>
      <c r="AY163" s="92" t="s">
        <v>800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92" t="s">
        <v>767</v>
      </c>
      <c r="BK163" s="246">
        <f>ROUND(I163*H163,2)</f>
        <v>0</v>
      </c>
      <c r="BL163" s="92" t="s">
        <v>806</v>
      </c>
      <c r="BM163" s="245" t="s">
        <v>986</v>
      </c>
    </row>
    <row r="164" spans="2:65" s="106" customFormat="1">
      <c r="B164" s="107"/>
      <c r="D164" s="247" t="s">
        <v>808</v>
      </c>
      <c r="F164" s="248" t="s">
        <v>987</v>
      </c>
      <c r="I164" s="167"/>
      <c r="L164" s="107"/>
      <c r="M164" s="249"/>
      <c r="T164" s="131"/>
      <c r="AT164" s="92" t="s">
        <v>808</v>
      </c>
      <c r="AU164" s="92" t="s">
        <v>769</v>
      </c>
    </row>
    <row r="165" spans="2:65" s="221" customFormat="1" ht="22.9" customHeight="1">
      <c r="B165" s="222"/>
      <c r="D165" s="223" t="s">
        <v>549</v>
      </c>
      <c r="E165" s="232" t="s">
        <v>769</v>
      </c>
      <c r="F165" s="232" t="s">
        <v>988</v>
      </c>
      <c r="I165" s="225"/>
      <c r="J165" s="233">
        <f>BK165</f>
        <v>0</v>
      </c>
      <c r="L165" s="222"/>
      <c r="M165" s="227"/>
      <c r="P165" s="228">
        <f>SUM(P166:P187)</f>
        <v>0</v>
      </c>
      <c r="R165" s="228">
        <f>SUM(R166:R187)</f>
        <v>0</v>
      </c>
      <c r="T165" s="229">
        <f>SUM(T166:T187)</f>
        <v>0</v>
      </c>
      <c r="AR165" s="223" t="s">
        <v>767</v>
      </c>
      <c r="AT165" s="230" t="s">
        <v>549</v>
      </c>
      <c r="AU165" s="230" t="s">
        <v>767</v>
      </c>
      <c r="AY165" s="223" t="s">
        <v>800</v>
      </c>
      <c r="BK165" s="231">
        <f>SUM(BK166:BK187)</f>
        <v>0</v>
      </c>
    </row>
    <row r="166" spans="2:65" s="106" customFormat="1" ht="16.5" customHeight="1">
      <c r="B166" s="107"/>
      <c r="C166" s="234" t="s">
        <v>989</v>
      </c>
      <c r="D166" s="234" t="s">
        <v>556</v>
      </c>
      <c r="E166" s="235" t="s">
        <v>990</v>
      </c>
      <c r="F166" s="236" t="s">
        <v>991</v>
      </c>
      <c r="G166" s="237" t="s">
        <v>559</v>
      </c>
      <c r="H166" s="238">
        <v>35</v>
      </c>
      <c r="I166" s="239"/>
      <c r="J166" s="240">
        <f>ROUND(I166*H166,2)</f>
        <v>0</v>
      </c>
      <c r="K166" s="236" t="s">
        <v>924</v>
      </c>
      <c r="L166" s="107"/>
      <c r="M166" s="241" t="s">
        <v>25</v>
      </c>
      <c r="N166" s="242" t="s">
        <v>728</v>
      </c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AR166" s="245" t="s">
        <v>806</v>
      </c>
      <c r="AT166" s="245" t="s">
        <v>556</v>
      </c>
      <c r="AU166" s="245" t="s">
        <v>769</v>
      </c>
      <c r="AY166" s="92" t="s">
        <v>800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92" t="s">
        <v>767</v>
      </c>
      <c r="BK166" s="246">
        <f>ROUND(I166*H166,2)</f>
        <v>0</v>
      </c>
      <c r="BL166" s="92" t="s">
        <v>806</v>
      </c>
      <c r="BM166" s="245" t="s">
        <v>992</v>
      </c>
    </row>
    <row r="167" spans="2:65" s="106" customFormat="1">
      <c r="B167" s="107"/>
      <c r="D167" s="247" t="s">
        <v>808</v>
      </c>
      <c r="F167" s="248" t="s">
        <v>993</v>
      </c>
      <c r="I167" s="167"/>
      <c r="L167" s="107"/>
      <c r="M167" s="249"/>
      <c r="T167" s="131"/>
      <c r="AT167" s="92" t="s">
        <v>808</v>
      </c>
      <c r="AU167" s="92" t="s">
        <v>769</v>
      </c>
    </row>
    <row r="168" spans="2:65" s="106" customFormat="1" ht="16.5" customHeight="1">
      <c r="B168" s="107"/>
      <c r="C168" s="234" t="s">
        <v>994</v>
      </c>
      <c r="D168" s="234" t="s">
        <v>556</v>
      </c>
      <c r="E168" s="235" t="s">
        <v>995</v>
      </c>
      <c r="F168" s="236" t="s">
        <v>996</v>
      </c>
      <c r="G168" s="237" t="s">
        <v>559</v>
      </c>
      <c r="H168" s="238">
        <v>35</v>
      </c>
      <c r="I168" s="239"/>
      <c r="J168" s="240">
        <f>ROUND(I168*H168,2)</f>
        <v>0</v>
      </c>
      <c r="K168" s="236" t="s">
        <v>947</v>
      </c>
      <c r="L168" s="107"/>
      <c r="M168" s="241" t="s">
        <v>25</v>
      </c>
      <c r="N168" s="242" t="s">
        <v>728</v>
      </c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AR168" s="245" t="s">
        <v>806</v>
      </c>
      <c r="AT168" s="245" t="s">
        <v>556</v>
      </c>
      <c r="AU168" s="245" t="s">
        <v>769</v>
      </c>
      <c r="AY168" s="92" t="s">
        <v>800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92" t="s">
        <v>767</v>
      </c>
      <c r="BK168" s="246">
        <f>ROUND(I168*H168,2)</f>
        <v>0</v>
      </c>
      <c r="BL168" s="92" t="s">
        <v>806</v>
      </c>
      <c r="BM168" s="245" t="s">
        <v>997</v>
      </c>
    </row>
    <row r="169" spans="2:65" s="106" customFormat="1">
      <c r="B169" s="107"/>
      <c r="D169" s="247" t="s">
        <v>808</v>
      </c>
      <c r="F169" s="248" t="s">
        <v>998</v>
      </c>
      <c r="I169" s="167"/>
      <c r="L169" s="107"/>
      <c r="M169" s="249"/>
      <c r="T169" s="131"/>
      <c r="AT169" s="92" t="s">
        <v>808</v>
      </c>
      <c r="AU169" s="92" t="s">
        <v>769</v>
      </c>
    </row>
    <row r="170" spans="2:65" s="106" customFormat="1" ht="16.5" customHeight="1">
      <c r="B170" s="107"/>
      <c r="C170" s="234" t="s">
        <v>999</v>
      </c>
      <c r="D170" s="234" t="s">
        <v>556</v>
      </c>
      <c r="E170" s="235" t="s">
        <v>1000</v>
      </c>
      <c r="F170" s="236" t="s">
        <v>1001</v>
      </c>
      <c r="G170" s="237" t="s">
        <v>559</v>
      </c>
      <c r="H170" s="238">
        <v>35</v>
      </c>
      <c r="I170" s="239"/>
      <c r="J170" s="240">
        <f>ROUND(I170*H170,2)</f>
        <v>0</v>
      </c>
      <c r="K170" s="236" t="s">
        <v>924</v>
      </c>
      <c r="L170" s="107"/>
      <c r="M170" s="241" t="s">
        <v>25</v>
      </c>
      <c r="N170" s="242" t="s">
        <v>728</v>
      </c>
      <c r="P170" s="243">
        <f>O170*H170</f>
        <v>0</v>
      </c>
      <c r="Q170" s="243">
        <v>0</v>
      </c>
      <c r="R170" s="243">
        <f>Q170*H170</f>
        <v>0</v>
      </c>
      <c r="S170" s="243">
        <v>0</v>
      </c>
      <c r="T170" s="244">
        <f>S170*H170</f>
        <v>0</v>
      </c>
      <c r="AR170" s="245" t="s">
        <v>806</v>
      </c>
      <c r="AT170" s="245" t="s">
        <v>556</v>
      </c>
      <c r="AU170" s="245" t="s">
        <v>769</v>
      </c>
      <c r="AY170" s="92" t="s">
        <v>800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92" t="s">
        <v>767</v>
      </c>
      <c r="BK170" s="246">
        <f>ROUND(I170*H170,2)</f>
        <v>0</v>
      </c>
      <c r="BL170" s="92" t="s">
        <v>806</v>
      </c>
      <c r="BM170" s="245" t="s">
        <v>1002</v>
      </c>
    </row>
    <row r="171" spans="2:65" s="106" customFormat="1">
      <c r="B171" s="107"/>
      <c r="D171" s="247" t="s">
        <v>808</v>
      </c>
      <c r="F171" s="248" t="s">
        <v>1003</v>
      </c>
      <c r="I171" s="167"/>
      <c r="L171" s="107"/>
      <c r="M171" s="249"/>
      <c r="T171" s="131"/>
      <c r="AT171" s="92" t="s">
        <v>808</v>
      </c>
      <c r="AU171" s="92" t="s">
        <v>769</v>
      </c>
    </row>
    <row r="172" spans="2:65" s="106" customFormat="1" ht="16.5" customHeight="1">
      <c r="B172" s="107"/>
      <c r="C172" s="234" t="s">
        <v>1004</v>
      </c>
      <c r="D172" s="234" t="s">
        <v>556</v>
      </c>
      <c r="E172" s="235" t="s">
        <v>1005</v>
      </c>
      <c r="F172" s="236" t="s">
        <v>1006</v>
      </c>
      <c r="G172" s="237" t="s">
        <v>559</v>
      </c>
      <c r="H172" s="238">
        <v>35</v>
      </c>
      <c r="I172" s="239"/>
      <c r="J172" s="240">
        <f>ROUND(I172*H172,2)</f>
        <v>0</v>
      </c>
      <c r="K172" s="236" t="s">
        <v>25</v>
      </c>
      <c r="L172" s="107"/>
      <c r="M172" s="241" t="s">
        <v>25</v>
      </c>
      <c r="N172" s="242" t="s">
        <v>728</v>
      </c>
      <c r="P172" s="243">
        <f>O172*H172</f>
        <v>0</v>
      </c>
      <c r="Q172" s="243">
        <v>0</v>
      </c>
      <c r="R172" s="243">
        <f>Q172*H172</f>
        <v>0</v>
      </c>
      <c r="S172" s="243">
        <v>0</v>
      </c>
      <c r="T172" s="244">
        <f>S172*H172</f>
        <v>0</v>
      </c>
      <c r="AR172" s="245" t="s">
        <v>806</v>
      </c>
      <c r="AT172" s="245" t="s">
        <v>556</v>
      </c>
      <c r="AU172" s="245" t="s">
        <v>769</v>
      </c>
      <c r="AY172" s="92" t="s">
        <v>800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92" t="s">
        <v>767</v>
      </c>
      <c r="BK172" s="246">
        <f>ROUND(I172*H172,2)</f>
        <v>0</v>
      </c>
      <c r="BL172" s="92" t="s">
        <v>806</v>
      </c>
      <c r="BM172" s="245" t="s">
        <v>1007</v>
      </c>
    </row>
    <row r="173" spans="2:65" s="106" customFormat="1">
      <c r="B173" s="107"/>
      <c r="D173" s="247" t="s">
        <v>808</v>
      </c>
      <c r="F173" s="248" t="s">
        <v>958</v>
      </c>
      <c r="I173" s="167"/>
      <c r="L173" s="107"/>
      <c r="M173" s="249"/>
      <c r="T173" s="131"/>
      <c r="AT173" s="92" t="s">
        <v>808</v>
      </c>
      <c r="AU173" s="92" t="s">
        <v>769</v>
      </c>
    </row>
    <row r="174" spans="2:65" s="106" customFormat="1" ht="16.5" customHeight="1">
      <c r="B174" s="107"/>
      <c r="C174" s="250" t="s">
        <v>1008</v>
      </c>
      <c r="D174" s="250" t="s">
        <v>64</v>
      </c>
      <c r="E174" s="251" t="s">
        <v>1009</v>
      </c>
      <c r="F174" s="252" t="s">
        <v>960</v>
      </c>
      <c r="G174" s="253" t="s">
        <v>559</v>
      </c>
      <c r="H174" s="254">
        <v>175</v>
      </c>
      <c r="I174" s="255"/>
      <c r="J174" s="256">
        <f>ROUND(I174*H174,2)</f>
        <v>0</v>
      </c>
      <c r="K174" s="252" t="s">
        <v>25</v>
      </c>
      <c r="L174" s="257"/>
      <c r="M174" s="258" t="s">
        <v>25</v>
      </c>
      <c r="N174" s="259" t="s">
        <v>728</v>
      </c>
      <c r="P174" s="243">
        <f>O174*H174</f>
        <v>0</v>
      </c>
      <c r="Q174" s="243">
        <v>0</v>
      </c>
      <c r="R174" s="243">
        <f>Q174*H174</f>
        <v>0</v>
      </c>
      <c r="S174" s="243">
        <v>0</v>
      </c>
      <c r="T174" s="244">
        <f>S174*H174</f>
        <v>0</v>
      </c>
      <c r="AR174" s="245" t="s">
        <v>812</v>
      </c>
      <c r="AT174" s="245" t="s">
        <v>64</v>
      </c>
      <c r="AU174" s="245" t="s">
        <v>769</v>
      </c>
      <c r="AY174" s="92" t="s">
        <v>800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92" t="s">
        <v>767</v>
      </c>
      <c r="BK174" s="246">
        <f>ROUND(I174*H174,2)</f>
        <v>0</v>
      </c>
      <c r="BL174" s="92" t="s">
        <v>806</v>
      </c>
      <c r="BM174" s="245" t="s">
        <v>1010</v>
      </c>
    </row>
    <row r="175" spans="2:65" s="106" customFormat="1">
      <c r="B175" s="107"/>
      <c r="D175" s="247" t="s">
        <v>808</v>
      </c>
      <c r="F175" s="248" t="s">
        <v>960</v>
      </c>
      <c r="I175" s="167"/>
      <c r="L175" s="107"/>
      <c r="M175" s="249"/>
      <c r="T175" s="131"/>
      <c r="AT175" s="92" t="s">
        <v>808</v>
      </c>
      <c r="AU175" s="92" t="s">
        <v>769</v>
      </c>
    </row>
    <row r="176" spans="2:65" s="260" customFormat="1">
      <c r="B176" s="261"/>
      <c r="D176" s="247" t="s">
        <v>815</v>
      </c>
      <c r="E176" s="262" t="s">
        <v>25</v>
      </c>
      <c r="F176" s="263" t="s">
        <v>1011</v>
      </c>
      <c r="H176" s="264">
        <v>175</v>
      </c>
      <c r="I176" s="265"/>
      <c r="L176" s="261"/>
      <c r="M176" s="266"/>
      <c r="T176" s="267"/>
      <c r="AT176" s="262" t="s">
        <v>815</v>
      </c>
      <c r="AU176" s="262" t="s">
        <v>769</v>
      </c>
      <c r="AV176" s="260" t="s">
        <v>769</v>
      </c>
      <c r="AW176" s="260" t="s">
        <v>720</v>
      </c>
      <c r="AX176" s="260" t="s">
        <v>767</v>
      </c>
      <c r="AY176" s="262" t="s">
        <v>800</v>
      </c>
    </row>
    <row r="177" spans="2:65" s="106" customFormat="1" ht="16.5" customHeight="1">
      <c r="B177" s="107"/>
      <c r="C177" s="234" t="s">
        <v>1012</v>
      </c>
      <c r="D177" s="234" t="s">
        <v>556</v>
      </c>
      <c r="E177" s="235" t="s">
        <v>1013</v>
      </c>
      <c r="F177" s="236" t="s">
        <v>1014</v>
      </c>
      <c r="G177" s="237" t="s">
        <v>620</v>
      </c>
      <c r="H177" s="238">
        <v>3.5</v>
      </c>
      <c r="I177" s="239"/>
      <c r="J177" s="240">
        <f>ROUND(I177*H177,2)</f>
        <v>0</v>
      </c>
      <c r="K177" s="236" t="s">
        <v>924</v>
      </c>
      <c r="L177" s="107"/>
      <c r="M177" s="241" t="s">
        <v>25</v>
      </c>
      <c r="N177" s="242" t="s">
        <v>728</v>
      </c>
      <c r="P177" s="243">
        <f>O177*H177</f>
        <v>0</v>
      </c>
      <c r="Q177" s="243">
        <v>0</v>
      </c>
      <c r="R177" s="243">
        <f>Q177*H177</f>
        <v>0</v>
      </c>
      <c r="S177" s="243">
        <v>0</v>
      </c>
      <c r="T177" s="244">
        <f>S177*H177</f>
        <v>0</v>
      </c>
      <c r="AR177" s="245" t="s">
        <v>806</v>
      </c>
      <c r="AT177" s="245" t="s">
        <v>556</v>
      </c>
      <c r="AU177" s="245" t="s">
        <v>769</v>
      </c>
      <c r="AY177" s="92" t="s">
        <v>800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92" t="s">
        <v>767</v>
      </c>
      <c r="BK177" s="246">
        <f>ROUND(I177*H177,2)</f>
        <v>0</v>
      </c>
      <c r="BL177" s="92" t="s">
        <v>806</v>
      </c>
      <c r="BM177" s="245" t="s">
        <v>1015</v>
      </c>
    </row>
    <row r="178" spans="2:65" s="106" customFormat="1">
      <c r="B178" s="107"/>
      <c r="D178" s="247" t="s">
        <v>808</v>
      </c>
      <c r="F178" s="248" t="s">
        <v>1016</v>
      </c>
      <c r="I178" s="167"/>
      <c r="L178" s="107"/>
      <c r="M178" s="249"/>
      <c r="T178" s="131"/>
      <c r="AT178" s="92" t="s">
        <v>808</v>
      </c>
      <c r="AU178" s="92" t="s">
        <v>769</v>
      </c>
    </row>
    <row r="179" spans="2:65" s="260" customFormat="1">
      <c r="B179" s="261"/>
      <c r="D179" s="247" t="s">
        <v>815</v>
      </c>
      <c r="E179" s="262" t="s">
        <v>25</v>
      </c>
      <c r="F179" s="263" t="s">
        <v>1017</v>
      </c>
      <c r="H179" s="264">
        <v>3.5</v>
      </c>
      <c r="I179" s="265"/>
      <c r="L179" s="261"/>
      <c r="M179" s="266"/>
      <c r="T179" s="267"/>
      <c r="AT179" s="262" t="s">
        <v>815</v>
      </c>
      <c r="AU179" s="262" t="s">
        <v>769</v>
      </c>
      <c r="AV179" s="260" t="s">
        <v>769</v>
      </c>
      <c r="AW179" s="260" t="s">
        <v>720</v>
      </c>
      <c r="AX179" s="260" t="s">
        <v>767</v>
      </c>
      <c r="AY179" s="262" t="s">
        <v>800</v>
      </c>
    </row>
    <row r="180" spans="2:65" s="106" customFormat="1" ht="16.5" customHeight="1">
      <c r="B180" s="107"/>
      <c r="C180" s="234" t="s">
        <v>1018</v>
      </c>
      <c r="D180" s="234" t="s">
        <v>556</v>
      </c>
      <c r="E180" s="235" t="s">
        <v>1013</v>
      </c>
      <c r="F180" s="236" t="s">
        <v>1014</v>
      </c>
      <c r="G180" s="237" t="s">
        <v>620</v>
      </c>
      <c r="H180" s="238">
        <v>3.5</v>
      </c>
      <c r="I180" s="239"/>
      <c r="J180" s="240">
        <f>ROUND(I180*H180,2)</f>
        <v>0</v>
      </c>
      <c r="K180" s="236" t="s">
        <v>924</v>
      </c>
      <c r="L180" s="107"/>
      <c r="M180" s="241" t="s">
        <v>25</v>
      </c>
      <c r="N180" s="242" t="s">
        <v>728</v>
      </c>
      <c r="P180" s="243">
        <f>O180*H180</f>
        <v>0</v>
      </c>
      <c r="Q180" s="243">
        <v>0</v>
      </c>
      <c r="R180" s="243">
        <f>Q180*H180</f>
        <v>0</v>
      </c>
      <c r="S180" s="243">
        <v>0</v>
      </c>
      <c r="T180" s="244">
        <f>S180*H180</f>
        <v>0</v>
      </c>
      <c r="AR180" s="245" t="s">
        <v>806</v>
      </c>
      <c r="AT180" s="245" t="s">
        <v>556</v>
      </c>
      <c r="AU180" s="245" t="s">
        <v>769</v>
      </c>
      <c r="AY180" s="92" t="s">
        <v>800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92" t="s">
        <v>767</v>
      </c>
      <c r="BK180" s="246">
        <f>ROUND(I180*H180,2)</f>
        <v>0</v>
      </c>
      <c r="BL180" s="92" t="s">
        <v>806</v>
      </c>
      <c r="BM180" s="245" t="s">
        <v>1019</v>
      </c>
    </row>
    <row r="181" spans="2:65" s="106" customFormat="1">
      <c r="B181" s="107"/>
      <c r="D181" s="247" t="s">
        <v>808</v>
      </c>
      <c r="F181" s="248" t="s">
        <v>1016</v>
      </c>
      <c r="I181" s="167"/>
      <c r="L181" s="107"/>
      <c r="M181" s="249"/>
      <c r="T181" s="131"/>
      <c r="AT181" s="92" t="s">
        <v>808</v>
      </c>
      <c r="AU181" s="92" t="s">
        <v>769</v>
      </c>
    </row>
    <row r="182" spans="2:65" s="106" customFormat="1" ht="16.5" customHeight="1">
      <c r="B182" s="107"/>
      <c r="C182" s="234" t="s">
        <v>1020</v>
      </c>
      <c r="D182" s="234" t="s">
        <v>556</v>
      </c>
      <c r="E182" s="235" t="s">
        <v>1013</v>
      </c>
      <c r="F182" s="236" t="s">
        <v>1014</v>
      </c>
      <c r="G182" s="237" t="s">
        <v>620</v>
      </c>
      <c r="H182" s="238">
        <v>3.5</v>
      </c>
      <c r="I182" s="239"/>
      <c r="J182" s="240">
        <f>ROUND(I182*H182,2)</f>
        <v>0</v>
      </c>
      <c r="K182" s="236" t="s">
        <v>924</v>
      </c>
      <c r="L182" s="107"/>
      <c r="M182" s="241" t="s">
        <v>25</v>
      </c>
      <c r="N182" s="242" t="s">
        <v>728</v>
      </c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AR182" s="245" t="s">
        <v>806</v>
      </c>
      <c r="AT182" s="245" t="s">
        <v>556</v>
      </c>
      <c r="AU182" s="245" t="s">
        <v>769</v>
      </c>
      <c r="AY182" s="92" t="s">
        <v>800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92" t="s">
        <v>767</v>
      </c>
      <c r="BK182" s="246">
        <f>ROUND(I182*H182,2)</f>
        <v>0</v>
      </c>
      <c r="BL182" s="92" t="s">
        <v>806</v>
      </c>
      <c r="BM182" s="245" t="s">
        <v>1021</v>
      </c>
    </row>
    <row r="183" spans="2:65" s="106" customFormat="1">
      <c r="B183" s="107"/>
      <c r="D183" s="247" t="s">
        <v>808</v>
      </c>
      <c r="F183" s="248" t="s">
        <v>1016</v>
      </c>
      <c r="I183" s="167"/>
      <c r="L183" s="107"/>
      <c r="M183" s="249"/>
      <c r="T183" s="131"/>
      <c r="AT183" s="92" t="s">
        <v>808</v>
      </c>
      <c r="AU183" s="92" t="s">
        <v>769</v>
      </c>
    </row>
    <row r="184" spans="2:65" s="106" customFormat="1" ht="16.5" customHeight="1">
      <c r="B184" s="107"/>
      <c r="C184" s="234" t="s">
        <v>1022</v>
      </c>
      <c r="D184" s="234" t="s">
        <v>556</v>
      </c>
      <c r="E184" s="235" t="s">
        <v>1023</v>
      </c>
      <c r="F184" s="236" t="s">
        <v>1024</v>
      </c>
      <c r="G184" s="237" t="s">
        <v>620</v>
      </c>
      <c r="H184" s="238">
        <v>3.5</v>
      </c>
      <c r="I184" s="239"/>
      <c r="J184" s="240">
        <f>ROUND(I184*H184,2)</f>
        <v>0</v>
      </c>
      <c r="K184" s="236" t="s">
        <v>924</v>
      </c>
      <c r="L184" s="107"/>
      <c r="M184" s="241" t="s">
        <v>25</v>
      </c>
      <c r="N184" s="242" t="s">
        <v>728</v>
      </c>
      <c r="P184" s="243">
        <f>O184*H184</f>
        <v>0</v>
      </c>
      <c r="Q184" s="243">
        <v>0</v>
      </c>
      <c r="R184" s="243">
        <f>Q184*H184</f>
        <v>0</v>
      </c>
      <c r="S184" s="243">
        <v>0</v>
      </c>
      <c r="T184" s="244">
        <f>S184*H184</f>
        <v>0</v>
      </c>
      <c r="AR184" s="245" t="s">
        <v>806</v>
      </c>
      <c r="AT184" s="245" t="s">
        <v>556</v>
      </c>
      <c r="AU184" s="245" t="s">
        <v>769</v>
      </c>
      <c r="AY184" s="92" t="s">
        <v>800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92" t="s">
        <v>767</v>
      </c>
      <c r="BK184" s="246">
        <f>ROUND(I184*H184,2)</f>
        <v>0</v>
      </c>
      <c r="BL184" s="92" t="s">
        <v>806</v>
      </c>
      <c r="BM184" s="245" t="s">
        <v>1025</v>
      </c>
    </row>
    <row r="185" spans="2:65" s="106" customFormat="1">
      <c r="B185" s="107"/>
      <c r="D185" s="247" t="s">
        <v>808</v>
      </c>
      <c r="F185" s="248" t="s">
        <v>1026</v>
      </c>
      <c r="I185" s="167"/>
      <c r="L185" s="107"/>
      <c r="M185" s="249"/>
      <c r="T185" s="131"/>
      <c r="AT185" s="92" t="s">
        <v>808</v>
      </c>
      <c r="AU185" s="92" t="s">
        <v>769</v>
      </c>
    </row>
    <row r="186" spans="2:65" s="106" customFormat="1" ht="16.5" customHeight="1">
      <c r="B186" s="107"/>
      <c r="C186" s="250" t="s">
        <v>1027</v>
      </c>
      <c r="D186" s="250" t="s">
        <v>64</v>
      </c>
      <c r="E186" s="251" t="s">
        <v>1028</v>
      </c>
      <c r="F186" s="252" t="s">
        <v>1029</v>
      </c>
      <c r="G186" s="253" t="s">
        <v>1030</v>
      </c>
      <c r="H186" s="254">
        <v>1</v>
      </c>
      <c r="I186" s="255"/>
      <c r="J186" s="256">
        <f>ROUND(I186*H186,2)</f>
        <v>0</v>
      </c>
      <c r="K186" s="252" t="s">
        <v>25</v>
      </c>
      <c r="L186" s="257"/>
      <c r="M186" s="258" t="s">
        <v>25</v>
      </c>
      <c r="N186" s="259" t="s">
        <v>728</v>
      </c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AR186" s="245" t="s">
        <v>812</v>
      </c>
      <c r="AT186" s="245" t="s">
        <v>64</v>
      </c>
      <c r="AU186" s="245" t="s">
        <v>769</v>
      </c>
      <c r="AY186" s="92" t="s">
        <v>800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92" t="s">
        <v>767</v>
      </c>
      <c r="BK186" s="246">
        <f>ROUND(I186*H186,2)</f>
        <v>0</v>
      </c>
      <c r="BL186" s="92" t="s">
        <v>806</v>
      </c>
      <c r="BM186" s="245" t="s">
        <v>1031</v>
      </c>
    </row>
    <row r="187" spans="2:65" s="106" customFormat="1">
      <c r="B187" s="107"/>
      <c r="D187" s="247" t="s">
        <v>808</v>
      </c>
      <c r="F187" s="248" t="s">
        <v>1032</v>
      </c>
      <c r="I187" s="167"/>
      <c r="L187" s="107"/>
      <c r="M187" s="249"/>
      <c r="T187" s="131"/>
      <c r="AT187" s="92" t="s">
        <v>808</v>
      </c>
      <c r="AU187" s="92" t="s">
        <v>769</v>
      </c>
    </row>
    <row r="188" spans="2:65" s="221" customFormat="1" ht="22.9" customHeight="1">
      <c r="B188" s="222"/>
      <c r="D188" s="223" t="s">
        <v>549</v>
      </c>
      <c r="E188" s="232" t="s">
        <v>890</v>
      </c>
      <c r="F188" s="232" t="s">
        <v>1033</v>
      </c>
      <c r="I188" s="225"/>
      <c r="J188" s="233">
        <f>BK188</f>
        <v>0</v>
      </c>
      <c r="L188" s="222"/>
      <c r="M188" s="227"/>
      <c r="P188" s="228">
        <f>SUM(P189:P210)</f>
        <v>0</v>
      </c>
      <c r="R188" s="228">
        <f>SUM(R189:R210)</f>
        <v>0</v>
      </c>
      <c r="T188" s="229">
        <f>SUM(T189:T210)</f>
        <v>0</v>
      </c>
      <c r="AR188" s="223" t="s">
        <v>767</v>
      </c>
      <c r="AT188" s="230" t="s">
        <v>549</v>
      </c>
      <c r="AU188" s="230" t="s">
        <v>767</v>
      </c>
      <c r="AY188" s="223" t="s">
        <v>800</v>
      </c>
      <c r="BK188" s="231">
        <f>SUM(BK189:BK210)</f>
        <v>0</v>
      </c>
    </row>
    <row r="189" spans="2:65" s="106" customFormat="1" ht="16.5" customHeight="1">
      <c r="B189" s="107"/>
      <c r="C189" s="234" t="s">
        <v>1034</v>
      </c>
      <c r="D189" s="234" t="s">
        <v>556</v>
      </c>
      <c r="E189" s="235" t="s">
        <v>1035</v>
      </c>
      <c r="F189" s="236" t="s">
        <v>1036</v>
      </c>
      <c r="G189" s="237" t="s">
        <v>559</v>
      </c>
      <c r="H189" s="238">
        <v>1596</v>
      </c>
      <c r="I189" s="239"/>
      <c r="J189" s="240">
        <f>ROUND(I189*H189,2)</f>
        <v>0</v>
      </c>
      <c r="K189" s="236" t="s">
        <v>924</v>
      </c>
      <c r="L189" s="107"/>
      <c r="M189" s="241" t="s">
        <v>25</v>
      </c>
      <c r="N189" s="242" t="s">
        <v>728</v>
      </c>
      <c r="P189" s="243">
        <f>O189*H189</f>
        <v>0</v>
      </c>
      <c r="Q189" s="243">
        <v>0</v>
      </c>
      <c r="R189" s="243">
        <f>Q189*H189</f>
        <v>0</v>
      </c>
      <c r="S189" s="243">
        <v>0</v>
      </c>
      <c r="T189" s="244">
        <f>S189*H189</f>
        <v>0</v>
      </c>
      <c r="AR189" s="245" t="s">
        <v>806</v>
      </c>
      <c r="AT189" s="245" t="s">
        <v>556</v>
      </c>
      <c r="AU189" s="245" t="s">
        <v>769</v>
      </c>
      <c r="AY189" s="92" t="s">
        <v>800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92" t="s">
        <v>767</v>
      </c>
      <c r="BK189" s="246">
        <f>ROUND(I189*H189,2)</f>
        <v>0</v>
      </c>
      <c r="BL189" s="92" t="s">
        <v>806</v>
      </c>
      <c r="BM189" s="245" t="s">
        <v>1037</v>
      </c>
    </row>
    <row r="190" spans="2:65" s="106" customFormat="1" ht="19.5">
      <c r="B190" s="107"/>
      <c r="D190" s="247" t="s">
        <v>808</v>
      </c>
      <c r="F190" s="248" t="s">
        <v>1038</v>
      </c>
      <c r="I190" s="167"/>
      <c r="L190" s="107"/>
      <c r="M190" s="249"/>
      <c r="T190" s="131"/>
      <c r="AT190" s="92" t="s">
        <v>808</v>
      </c>
      <c r="AU190" s="92" t="s">
        <v>769</v>
      </c>
    </row>
    <row r="191" spans="2:65" s="106" customFormat="1" ht="16.5" customHeight="1">
      <c r="B191" s="107"/>
      <c r="C191" s="250" t="s">
        <v>1039</v>
      </c>
      <c r="D191" s="250" t="s">
        <v>64</v>
      </c>
      <c r="E191" s="251" t="s">
        <v>1040</v>
      </c>
      <c r="F191" s="252" t="s">
        <v>1041</v>
      </c>
      <c r="G191" s="253" t="s">
        <v>1030</v>
      </c>
      <c r="H191" s="254">
        <v>1</v>
      </c>
      <c r="I191" s="255"/>
      <c r="J191" s="256">
        <f>ROUND(I191*H191,2)</f>
        <v>0</v>
      </c>
      <c r="K191" s="252" t="s">
        <v>25</v>
      </c>
      <c r="L191" s="257"/>
      <c r="M191" s="258" t="s">
        <v>25</v>
      </c>
      <c r="N191" s="259" t="s">
        <v>728</v>
      </c>
      <c r="P191" s="243">
        <f>O191*H191</f>
        <v>0</v>
      </c>
      <c r="Q191" s="243">
        <v>0</v>
      </c>
      <c r="R191" s="243">
        <f>Q191*H191</f>
        <v>0</v>
      </c>
      <c r="S191" s="243">
        <v>0</v>
      </c>
      <c r="T191" s="244">
        <f>S191*H191</f>
        <v>0</v>
      </c>
      <c r="AR191" s="245" t="s">
        <v>812</v>
      </c>
      <c r="AT191" s="245" t="s">
        <v>64</v>
      </c>
      <c r="AU191" s="245" t="s">
        <v>769</v>
      </c>
      <c r="AY191" s="92" t="s">
        <v>800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92" t="s">
        <v>767</v>
      </c>
      <c r="BK191" s="246">
        <f>ROUND(I191*H191,2)</f>
        <v>0</v>
      </c>
      <c r="BL191" s="92" t="s">
        <v>806</v>
      </c>
      <c r="BM191" s="245" t="s">
        <v>1042</v>
      </c>
    </row>
    <row r="192" spans="2:65" s="106" customFormat="1">
      <c r="B192" s="107"/>
      <c r="D192" s="247" t="s">
        <v>808</v>
      </c>
      <c r="F192" s="248" t="s">
        <v>1032</v>
      </c>
      <c r="I192" s="167"/>
      <c r="L192" s="107"/>
      <c r="M192" s="249"/>
      <c r="T192" s="131"/>
      <c r="AT192" s="92" t="s">
        <v>808</v>
      </c>
      <c r="AU192" s="92" t="s">
        <v>769</v>
      </c>
    </row>
    <row r="193" spans="2:65" s="106" customFormat="1" ht="16.5" customHeight="1">
      <c r="B193" s="107"/>
      <c r="C193" s="234" t="s">
        <v>1043</v>
      </c>
      <c r="D193" s="234" t="s">
        <v>556</v>
      </c>
      <c r="E193" s="235" t="s">
        <v>1044</v>
      </c>
      <c r="F193" s="236" t="s">
        <v>1045</v>
      </c>
      <c r="G193" s="237" t="s">
        <v>559</v>
      </c>
      <c r="H193" s="238">
        <v>1596</v>
      </c>
      <c r="I193" s="239"/>
      <c r="J193" s="240">
        <f>ROUND(I193*H193,2)</f>
        <v>0</v>
      </c>
      <c r="K193" s="236" t="s">
        <v>25</v>
      </c>
      <c r="L193" s="107"/>
      <c r="M193" s="241" t="s">
        <v>25</v>
      </c>
      <c r="N193" s="242" t="s">
        <v>728</v>
      </c>
      <c r="P193" s="243">
        <f>O193*H193</f>
        <v>0</v>
      </c>
      <c r="Q193" s="243">
        <v>0</v>
      </c>
      <c r="R193" s="243">
        <f>Q193*H193</f>
        <v>0</v>
      </c>
      <c r="S193" s="243">
        <v>0</v>
      </c>
      <c r="T193" s="244">
        <f>S193*H193</f>
        <v>0</v>
      </c>
      <c r="AR193" s="245" t="s">
        <v>806</v>
      </c>
      <c r="AT193" s="245" t="s">
        <v>556</v>
      </c>
      <c r="AU193" s="245" t="s">
        <v>769</v>
      </c>
      <c r="AY193" s="92" t="s">
        <v>800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92" t="s">
        <v>767</v>
      </c>
      <c r="BK193" s="246">
        <f>ROUND(I193*H193,2)</f>
        <v>0</v>
      </c>
      <c r="BL193" s="92" t="s">
        <v>806</v>
      </c>
      <c r="BM193" s="245" t="s">
        <v>1046</v>
      </c>
    </row>
    <row r="194" spans="2:65" s="106" customFormat="1">
      <c r="B194" s="107"/>
      <c r="D194" s="247" t="s">
        <v>808</v>
      </c>
      <c r="F194" s="248" t="s">
        <v>958</v>
      </c>
      <c r="I194" s="167"/>
      <c r="L194" s="107"/>
      <c r="M194" s="249"/>
      <c r="T194" s="131"/>
      <c r="AT194" s="92" t="s">
        <v>808</v>
      </c>
      <c r="AU194" s="92" t="s">
        <v>769</v>
      </c>
    </row>
    <row r="195" spans="2:65" s="106" customFormat="1" ht="16.5" customHeight="1">
      <c r="B195" s="107"/>
      <c r="C195" s="250" t="s">
        <v>1047</v>
      </c>
      <c r="D195" s="250" t="s">
        <v>64</v>
      </c>
      <c r="E195" s="251" t="s">
        <v>1048</v>
      </c>
      <c r="F195" s="252" t="s">
        <v>960</v>
      </c>
      <c r="G195" s="253" t="s">
        <v>559</v>
      </c>
      <c r="H195" s="254">
        <v>798</v>
      </c>
      <c r="I195" s="255"/>
      <c r="J195" s="256">
        <f>ROUND(I195*H195,2)</f>
        <v>0</v>
      </c>
      <c r="K195" s="252" t="s">
        <v>25</v>
      </c>
      <c r="L195" s="257"/>
      <c r="M195" s="258" t="s">
        <v>25</v>
      </c>
      <c r="N195" s="259" t="s">
        <v>728</v>
      </c>
      <c r="P195" s="243">
        <f>O195*H195</f>
        <v>0</v>
      </c>
      <c r="Q195" s="243">
        <v>0</v>
      </c>
      <c r="R195" s="243">
        <f>Q195*H195</f>
        <v>0</v>
      </c>
      <c r="S195" s="243">
        <v>0</v>
      </c>
      <c r="T195" s="244">
        <f>S195*H195</f>
        <v>0</v>
      </c>
      <c r="AR195" s="245" t="s">
        <v>812</v>
      </c>
      <c r="AT195" s="245" t="s">
        <v>64</v>
      </c>
      <c r="AU195" s="245" t="s">
        <v>769</v>
      </c>
      <c r="AY195" s="92" t="s">
        <v>800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92" t="s">
        <v>767</v>
      </c>
      <c r="BK195" s="246">
        <f>ROUND(I195*H195,2)</f>
        <v>0</v>
      </c>
      <c r="BL195" s="92" t="s">
        <v>806</v>
      </c>
      <c r="BM195" s="245" t="s">
        <v>1049</v>
      </c>
    </row>
    <row r="196" spans="2:65" s="106" customFormat="1">
      <c r="B196" s="107"/>
      <c r="D196" s="247" t="s">
        <v>808</v>
      </c>
      <c r="F196" s="248" t="s">
        <v>960</v>
      </c>
      <c r="I196" s="167"/>
      <c r="L196" s="107"/>
      <c r="M196" s="249"/>
      <c r="T196" s="131"/>
      <c r="AT196" s="92" t="s">
        <v>808</v>
      </c>
      <c r="AU196" s="92" t="s">
        <v>769</v>
      </c>
    </row>
    <row r="197" spans="2:65" s="260" customFormat="1">
      <c r="B197" s="261"/>
      <c r="D197" s="247" t="s">
        <v>815</v>
      </c>
      <c r="E197" s="262" t="s">
        <v>25</v>
      </c>
      <c r="F197" s="263" t="s">
        <v>1050</v>
      </c>
      <c r="H197" s="264">
        <v>798</v>
      </c>
      <c r="I197" s="265"/>
      <c r="L197" s="261"/>
      <c r="M197" s="266"/>
      <c r="T197" s="267"/>
      <c r="AT197" s="262" t="s">
        <v>815</v>
      </c>
      <c r="AU197" s="262" t="s">
        <v>769</v>
      </c>
      <c r="AV197" s="260" t="s">
        <v>769</v>
      </c>
      <c r="AW197" s="260" t="s">
        <v>720</v>
      </c>
      <c r="AX197" s="260" t="s">
        <v>767</v>
      </c>
      <c r="AY197" s="262" t="s">
        <v>800</v>
      </c>
    </row>
    <row r="198" spans="2:65" s="106" customFormat="1" ht="16.5" customHeight="1">
      <c r="B198" s="107"/>
      <c r="C198" s="234" t="s">
        <v>1051</v>
      </c>
      <c r="D198" s="234" t="s">
        <v>556</v>
      </c>
      <c r="E198" s="235" t="s">
        <v>1052</v>
      </c>
      <c r="F198" s="236" t="s">
        <v>1053</v>
      </c>
      <c r="G198" s="237" t="s">
        <v>620</v>
      </c>
      <c r="H198" s="238">
        <v>1.5960000000000001</v>
      </c>
      <c r="I198" s="239"/>
      <c r="J198" s="240">
        <f>ROUND(I198*H198,2)</f>
        <v>0</v>
      </c>
      <c r="K198" s="236" t="s">
        <v>924</v>
      </c>
      <c r="L198" s="107"/>
      <c r="M198" s="241" t="s">
        <v>25</v>
      </c>
      <c r="N198" s="242" t="s">
        <v>728</v>
      </c>
      <c r="P198" s="243">
        <f>O198*H198</f>
        <v>0</v>
      </c>
      <c r="Q198" s="243">
        <v>0</v>
      </c>
      <c r="R198" s="243">
        <f>Q198*H198</f>
        <v>0</v>
      </c>
      <c r="S198" s="243">
        <v>0</v>
      </c>
      <c r="T198" s="244">
        <f>S198*H198</f>
        <v>0</v>
      </c>
      <c r="AR198" s="245" t="s">
        <v>806</v>
      </c>
      <c r="AT198" s="245" t="s">
        <v>556</v>
      </c>
      <c r="AU198" s="245" t="s">
        <v>769</v>
      </c>
      <c r="AY198" s="92" t="s">
        <v>800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92" t="s">
        <v>767</v>
      </c>
      <c r="BK198" s="246">
        <f>ROUND(I198*H198,2)</f>
        <v>0</v>
      </c>
      <c r="BL198" s="92" t="s">
        <v>806</v>
      </c>
      <c r="BM198" s="245" t="s">
        <v>1054</v>
      </c>
    </row>
    <row r="199" spans="2:65" s="106" customFormat="1">
      <c r="B199" s="107"/>
      <c r="D199" s="247" t="s">
        <v>808</v>
      </c>
      <c r="F199" s="248" t="s">
        <v>1016</v>
      </c>
      <c r="I199" s="167"/>
      <c r="L199" s="107"/>
      <c r="M199" s="249"/>
      <c r="T199" s="131"/>
      <c r="AT199" s="92" t="s">
        <v>808</v>
      </c>
      <c r="AU199" s="92" t="s">
        <v>769</v>
      </c>
    </row>
    <row r="200" spans="2:65" s="260" customFormat="1">
      <c r="B200" s="261"/>
      <c r="D200" s="247" t="s">
        <v>815</v>
      </c>
      <c r="E200" s="262" t="s">
        <v>25</v>
      </c>
      <c r="F200" s="263" t="s">
        <v>1055</v>
      </c>
      <c r="H200" s="264">
        <v>1.5960000000000001</v>
      </c>
      <c r="I200" s="265"/>
      <c r="L200" s="261"/>
      <c r="M200" s="266"/>
      <c r="T200" s="267"/>
      <c r="AT200" s="262" t="s">
        <v>815</v>
      </c>
      <c r="AU200" s="262" t="s">
        <v>769</v>
      </c>
      <c r="AV200" s="260" t="s">
        <v>769</v>
      </c>
      <c r="AW200" s="260" t="s">
        <v>720</v>
      </c>
      <c r="AX200" s="260" t="s">
        <v>767</v>
      </c>
      <c r="AY200" s="262" t="s">
        <v>800</v>
      </c>
    </row>
    <row r="201" spans="2:65" s="106" customFormat="1" ht="16.5" customHeight="1">
      <c r="B201" s="107"/>
      <c r="C201" s="234" t="s">
        <v>1056</v>
      </c>
      <c r="D201" s="234" t="s">
        <v>556</v>
      </c>
      <c r="E201" s="235" t="s">
        <v>1052</v>
      </c>
      <c r="F201" s="236" t="s">
        <v>1053</v>
      </c>
      <c r="G201" s="237" t="s">
        <v>620</v>
      </c>
      <c r="H201" s="238">
        <v>1.6</v>
      </c>
      <c r="I201" s="239"/>
      <c r="J201" s="240">
        <f>ROUND(I201*H201,2)</f>
        <v>0</v>
      </c>
      <c r="K201" s="236" t="s">
        <v>924</v>
      </c>
      <c r="L201" s="107"/>
      <c r="M201" s="241" t="s">
        <v>25</v>
      </c>
      <c r="N201" s="242" t="s">
        <v>728</v>
      </c>
      <c r="P201" s="243">
        <f>O201*H201</f>
        <v>0</v>
      </c>
      <c r="Q201" s="243">
        <v>0</v>
      </c>
      <c r="R201" s="243">
        <f>Q201*H201</f>
        <v>0</v>
      </c>
      <c r="S201" s="243">
        <v>0</v>
      </c>
      <c r="T201" s="244">
        <f>S201*H201</f>
        <v>0</v>
      </c>
      <c r="AR201" s="245" t="s">
        <v>806</v>
      </c>
      <c r="AT201" s="245" t="s">
        <v>556</v>
      </c>
      <c r="AU201" s="245" t="s">
        <v>769</v>
      </c>
      <c r="AY201" s="92" t="s">
        <v>800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92" t="s">
        <v>767</v>
      </c>
      <c r="BK201" s="246">
        <f>ROUND(I201*H201,2)</f>
        <v>0</v>
      </c>
      <c r="BL201" s="92" t="s">
        <v>806</v>
      </c>
      <c r="BM201" s="245" t="s">
        <v>1057</v>
      </c>
    </row>
    <row r="202" spans="2:65" s="106" customFormat="1">
      <c r="B202" s="107"/>
      <c r="D202" s="247" t="s">
        <v>808</v>
      </c>
      <c r="F202" s="248" t="s">
        <v>1016</v>
      </c>
      <c r="I202" s="167"/>
      <c r="L202" s="107"/>
      <c r="M202" s="249"/>
      <c r="T202" s="131"/>
      <c r="AT202" s="92" t="s">
        <v>808</v>
      </c>
      <c r="AU202" s="92" t="s">
        <v>769</v>
      </c>
    </row>
    <row r="203" spans="2:65" s="106" customFormat="1" ht="16.5" customHeight="1">
      <c r="B203" s="107"/>
      <c r="C203" s="234" t="s">
        <v>1058</v>
      </c>
      <c r="D203" s="234" t="s">
        <v>556</v>
      </c>
      <c r="E203" s="235" t="s">
        <v>1052</v>
      </c>
      <c r="F203" s="236" t="s">
        <v>1053</v>
      </c>
      <c r="G203" s="237" t="s">
        <v>620</v>
      </c>
      <c r="H203" s="238">
        <v>1.6</v>
      </c>
      <c r="I203" s="239"/>
      <c r="J203" s="240">
        <f>ROUND(I203*H203,2)</f>
        <v>0</v>
      </c>
      <c r="K203" s="236" t="s">
        <v>924</v>
      </c>
      <c r="L203" s="107"/>
      <c r="M203" s="241" t="s">
        <v>25</v>
      </c>
      <c r="N203" s="242" t="s">
        <v>728</v>
      </c>
      <c r="P203" s="243">
        <f>O203*H203</f>
        <v>0</v>
      </c>
      <c r="Q203" s="243">
        <v>0</v>
      </c>
      <c r="R203" s="243">
        <f>Q203*H203</f>
        <v>0</v>
      </c>
      <c r="S203" s="243">
        <v>0</v>
      </c>
      <c r="T203" s="244">
        <f>S203*H203</f>
        <v>0</v>
      </c>
      <c r="AR203" s="245" t="s">
        <v>806</v>
      </c>
      <c r="AT203" s="245" t="s">
        <v>556</v>
      </c>
      <c r="AU203" s="245" t="s">
        <v>769</v>
      </c>
      <c r="AY203" s="92" t="s">
        <v>800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92" t="s">
        <v>767</v>
      </c>
      <c r="BK203" s="246">
        <f>ROUND(I203*H203,2)</f>
        <v>0</v>
      </c>
      <c r="BL203" s="92" t="s">
        <v>806</v>
      </c>
      <c r="BM203" s="245" t="s">
        <v>1059</v>
      </c>
    </row>
    <row r="204" spans="2:65" s="106" customFormat="1">
      <c r="B204" s="107"/>
      <c r="D204" s="247" t="s">
        <v>808</v>
      </c>
      <c r="F204" s="248" t="s">
        <v>1016</v>
      </c>
      <c r="I204" s="167"/>
      <c r="L204" s="107"/>
      <c r="M204" s="249"/>
      <c r="T204" s="131"/>
      <c r="AT204" s="92" t="s">
        <v>808</v>
      </c>
      <c r="AU204" s="92" t="s">
        <v>769</v>
      </c>
    </row>
    <row r="205" spans="2:65" s="106" customFormat="1" ht="16.5" customHeight="1">
      <c r="B205" s="107"/>
      <c r="C205" s="234" t="s">
        <v>1060</v>
      </c>
      <c r="D205" s="234" t="s">
        <v>556</v>
      </c>
      <c r="E205" s="235" t="s">
        <v>1061</v>
      </c>
      <c r="F205" s="236" t="s">
        <v>1024</v>
      </c>
      <c r="G205" s="237" t="s">
        <v>620</v>
      </c>
      <c r="H205" s="238">
        <v>1.6</v>
      </c>
      <c r="I205" s="239"/>
      <c r="J205" s="240">
        <f>ROUND(I205*H205,2)</f>
        <v>0</v>
      </c>
      <c r="K205" s="236" t="s">
        <v>924</v>
      </c>
      <c r="L205" s="107"/>
      <c r="M205" s="241" t="s">
        <v>25</v>
      </c>
      <c r="N205" s="242" t="s">
        <v>728</v>
      </c>
      <c r="P205" s="243">
        <f>O205*H205</f>
        <v>0</v>
      </c>
      <c r="Q205" s="243">
        <v>0</v>
      </c>
      <c r="R205" s="243">
        <f>Q205*H205</f>
        <v>0</v>
      </c>
      <c r="S205" s="243">
        <v>0</v>
      </c>
      <c r="T205" s="244">
        <f>S205*H205</f>
        <v>0</v>
      </c>
      <c r="AR205" s="245" t="s">
        <v>806</v>
      </c>
      <c r="AT205" s="245" t="s">
        <v>556</v>
      </c>
      <c r="AU205" s="245" t="s">
        <v>769</v>
      </c>
      <c r="AY205" s="92" t="s">
        <v>800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92" t="s">
        <v>767</v>
      </c>
      <c r="BK205" s="246">
        <f>ROUND(I205*H205,2)</f>
        <v>0</v>
      </c>
      <c r="BL205" s="92" t="s">
        <v>806</v>
      </c>
      <c r="BM205" s="245" t="s">
        <v>1062</v>
      </c>
    </row>
    <row r="206" spans="2:65" s="106" customFormat="1">
      <c r="B206" s="107"/>
      <c r="D206" s="247" t="s">
        <v>808</v>
      </c>
      <c r="F206" s="248" t="s">
        <v>1026</v>
      </c>
      <c r="I206" s="167"/>
      <c r="L206" s="107"/>
      <c r="M206" s="249"/>
      <c r="T206" s="131"/>
      <c r="AT206" s="92" t="s">
        <v>808</v>
      </c>
      <c r="AU206" s="92" t="s">
        <v>769</v>
      </c>
    </row>
    <row r="207" spans="2:65" s="106" customFormat="1" ht="16.5" customHeight="1">
      <c r="B207" s="107"/>
      <c r="C207" s="234" t="s">
        <v>1063</v>
      </c>
      <c r="D207" s="234" t="s">
        <v>556</v>
      </c>
      <c r="E207" s="235" t="s">
        <v>1064</v>
      </c>
      <c r="F207" s="236" t="s">
        <v>1065</v>
      </c>
      <c r="G207" s="237" t="s">
        <v>559</v>
      </c>
      <c r="H207" s="238">
        <v>145</v>
      </c>
      <c r="I207" s="239"/>
      <c r="J207" s="240">
        <f>ROUND(I207*H207,2)</f>
        <v>0</v>
      </c>
      <c r="K207" s="236" t="s">
        <v>947</v>
      </c>
      <c r="L207" s="107"/>
      <c r="M207" s="241" t="s">
        <v>25</v>
      </c>
      <c r="N207" s="242" t="s">
        <v>728</v>
      </c>
      <c r="P207" s="243">
        <f>O207*H207</f>
        <v>0</v>
      </c>
      <c r="Q207" s="243">
        <v>0</v>
      </c>
      <c r="R207" s="243">
        <f>Q207*H207</f>
        <v>0</v>
      </c>
      <c r="S207" s="243">
        <v>0</v>
      </c>
      <c r="T207" s="244">
        <f>S207*H207</f>
        <v>0</v>
      </c>
      <c r="AR207" s="245" t="s">
        <v>806</v>
      </c>
      <c r="AT207" s="245" t="s">
        <v>556</v>
      </c>
      <c r="AU207" s="245" t="s">
        <v>769</v>
      </c>
      <c r="AY207" s="92" t="s">
        <v>800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92" t="s">
        <v>767</v>
      </c>
      <c r="BK207" s="246">
        <f>ROUND(I207*H207,2)</f>
        <v>0</v>
      </c>
      <c r="BL207" s="92" t="s">
        <v>806</v>
      </c>
      <c r="BM207" s="245" t="s">
        <v>1066</v>
      </c>
    </row>
    <row r="208" spans="2:65" s="106" customFormat="1">
      <c r="B208" s="107"/>
      <c r="D208" s="247" t="s">
        <v>808</v>
      </c>
      <c r="F208" s="248" t="s">
        <v>1067</v>
      </c>
      <c r="I208" s="167"/>
      <c r="L208" s="107"/>
      <c r="M208" s="249"/>
      <c r="T208" s="131"/>
      <c r="AT208" s="92" t="s">
        <v>808</v>
      </c>
      <c r="AU208" s="92" t="s">
        <v>769</v>
      </c>
    </row>
    <row r="209" spans="2:65" s="106" customFormat="1" ht="16.5" customHeight="1">
      <c r="B209" s="107"/>
      <c r="C209" s="250" t="s">
        <v>1068</v>
      </c>
      <c r="D209" s="250" t="s">
        <v>64</v>
      </c>
      <c r="E209" s="251" t="s">
        <v>1069</v>
      </c>
      <c r="F209" s="252" t="s">
        <v>1070</v>
      </c>
      <c r="G209" s="253" t="s">
        <v>821</v>
      </c>
      <c r="H209" s="254">
        <v>1</v>
      </c>
      <c r="I209" s="255"/>
      <c r="J209" s="256">
        <f>ROUND(I209*H209,2)</f>
        <v>0</v>
      </c>
      <c r="K209" s="252" t="s">
        <v>25</v>
      </c>
      <c r="L209" s="257"/>
      <c r="M209" s="258" t="s">
        <v>25</v>
      </c>
      <c r="N209" s="259" t="s">
        <v>728</v>
      </c>
      <c r="P209" s="243">
        <f>O209*H209</f>
        <v>0</v>
      </c>
      <c r="Q209" s="243">
        <v>0</v>
      </c>
      <c r="R209" s="243">
        <f>Q209*H209</f>
        <v>0</v>
      </c>
      <c r="S209" s="243">
        <v>0</v>
      </c>
      <c r="T209" s="244">
        <f>S209*H209</f>
        <v>0</v>
      </c>
      <c r="AR209" s="245" t="s">
        <v>812</v>
      </c>
      <c r="AT209" s="245" t="s">
        <v>64</v>
      </c>
      <c r="AU209" s="245" t="s">
        <v>769</v>
      </c>
      <c r="AY209" s="92" t="s">
        <v>800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92" t="s">
        <v>767</v>
      </c>
      <c r="BK209" s="246">
        <f>ROUND(I209*H209,2)</f>
        <v>0</v>
      </c>
      <c r="BL209" s="92" t="s">
        <v>806</v>
      </c>
      <c r="BM209" s="245" t="s">
        <v>1071</v>
      </c>
    </row>
    <row r="210" spans="2:65" s="106" customFormat="1">
      <c r="B210" s="107"/>
      <c r="D210" s="247" t="s">
        <v>808</v>
      </c>
      <c r="F210" s="248" t="s">
        <v>1072</v>
      </c>
      <c r="I210" s="167"/>
      <c r="L210" s="107"/>
      <c r="M210" s="249"/>
      <c r="T210" s="131"/>
      <c r="AT210" s="92" t="s">
        <v>808</v>
      </c>
      <c r="AU210" s="92" t="s">
        <v>769</v>
      </c>
    </row>
    <row r="211" spans="2:65" s="221" customFormat="1" ht="22.9" customHeight="1">
      <c r="B211" s="222"/>
      <c r="D211" s="223" t="s">
        <v>549</v>
      </c>
      <c r="E211" s="232" t="s">
        <v>806</v>
      </c>
      <c r="F211" s="232" t="s">
        <v>1073</v>
      </c>
      <c r="I211" s="225"/>
      <c r="J211" s="233">
        <f>BK211</f>
        <v>0</v>
      </c>
      <c r="L211" s="222"/>
      <c r="M211" s="227"/>
      <c r="P211" s="228">
        <f>SUM(P212:P220)</f>
        <v>0</v>
      </c>
      <c r="R211" s="228">
        <f>SUM(R212:R220)</f>
        <v>0.14835000000000001</v>
      </c>
      <c r="T211" s="229">
        <f>SUM(T212:T220)</f>
        <v>0</v>
      </c>
      <c r="AR211" s="223" t="s">
        <v>767</v>
      </c>
      <c r="AT211" s="230" t="s">
        <v>549</v>
      </c>
      <c r="AU211" s="230" t="s">
        <v>767</v>
      </c>
      <c r="AY211" s="223" t="s">
        <v>800</v>
      </c>
      <c r="BK211" s="231">
        <f>SUM(BK212:BK220)</f>
        <v>0</v>
      </c>
    </row>
    <row r="212" spans="2:65" s="106" customFormat="1" ht="21.75" customHeight="1">
      <c r="B212" s="107"/>
      <c r="C212" s="234" t="s">
        <v>1074</v>
      </c>
      <c r="D212" s="234" t="s">
        <v>556</v>
      </c>
      <c r="E212" s="235" t="s">
        <v>1075</v>
      </c>
      <c r="F212" s="236" t="s">
        <v>1076</v>
      </c>
      <c r="G212" s="237" t="s">
        <v>617</v>
      </c>
      <c r="H212" s="238">
        <v>115</v>
      </c>
      <c r="I212" s="239"/>
      <c r="J212" s="240">
        <f>ROUND(I212*H212,2)</f>
        <v>0</v>
      </c>
      <c r="K212" s="236" t="s">
        <v>924</v>
      </c>
      <c r="L212" s="107"/>
      <c r="M212" s="241" t="s">
        <v>25</v>
      </c>
      <c r="N212" s="242" t="s">
        <v>728</v>
      </c>
      <c r="P212" s="243">
        <f>O212*H212</f>
        <v>0</v>
      </c>
      <c r="Q212" s="243">
        <v>0</v>
      </c>
      <c r="R212" s="243">
        <f>Q212*H212</f>
        <v>0</v>
      </c>
      <c r="S212" s="243">
        <v>0</v>
      </c>
      <c r="T212" s="244">
        <f>S212*H212</f>
        <v>0</v>
      </c>
      <c r="AR212" s="245" t="s">
        <v>806</v>
      </c>
      <c r="AT212" s="245" t="s">
        <v>556</v>
      </c>
      <c r="AU212" s="245" t="s">
        <v>769</v>
      </c>
      <c r="AY212" s="92" t="s">
        <v>800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92" t="s">
        <v>767</v>
      </c>
      <c r="BK212" s="246">
        <f>ROUND(I212*H212,2)</f>
        <v>0</v>
      </c>
      <c r="BL212" s="92" t="s">
        <v>806</v>
      </c>
      <c r="BM212" s="245" t="s">
        <v>1077</v>
      </c>
    </row>
    <row r="213" spans="2:65" s="106" customFormat="1" ht="19.5">
      <c r="B213" s="107"/>
      <c r="D213" s="247" t="s">
        <v>808</v>
      </c>
      <c r="F213" s="248" t="s">
        <v>1078</v>
      </c>
      <c r="I213" s="167"/>
      <c r="L213" s="107"/>
      <c r="M213" s="249"/>
      <c r="T213" s="131"/>
      <c r="AT213" s="92" t="s">
        <v>808</v>
      </c>
      <c r="AU213" s="92" t="s">
        <v>769</v>
      </c>
    </row>
    <row r="214" spans="2:65" s="106" customFormat="1" ht="16.5" customHeight="1">
      <c r="B214" s="107"/>
      <c r="C214" s="234" t="s">
        <v>1079</v>
      </c>
      <c r="D214" s="234" t="s">
        <v>556</v>
      </c>
      <c r="E214" s="235" t="s">
        <v>1080</v>
      </c>
      <c r="F214" s="236" t="s">
        <v>1081</v>
      </c>
      <c r="G214" s="237" t="s">
        <v>617</v>
      </c>
      <c r="H214" s="238">
        <v>115</v>
      </c>
      <c r="I214" s="239"/>
      <c r="J214" s="240">
        <f>ROUND(I214*H214,2)</f>
        <v>0</v>
      </c>
      <c r="K214" s="236" t="s">
        <v>805</v>
      </c>
      <c r="L214" s="107"/>
      <c r="M214" s="241" t="s">
        <v>25</v>
      </c>
      <c r="N214" s="242" t="s">
        <v>728</v>
      </c>
      <c r="P214" s="243">
        <f>O214*H214</f>
        <v>0</v>
      </c>
      <c r="Q214" s="243">
        <v>1.2700000000000001E-3</v>
      </c>
      <c r="R214" s="243">
        <f>Q214*H214</f>
        <v>0.14605000000000001</v>
      </c>
      <c r="S214" s="243">
        <v>0</v>
      </c>
      <c r="T214" s="244">
        <f>S214*H214</f>
        <v>0</v>
      </c>
      <c r="AR214" s="245" t="s">
        <v>806</v>
      </c>
      <c r="AT214" s="245" t="s">
        <v>556</v>
      </c>
      <c r="AU214" s="245" t="s">
        <v>769</v>
      </c>
      <c r="AY214" s="92" t="s">
        <v>800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92" t="s">
        <v>767</v>
      </c>
      <c r="BK214" s="246">
        <f>ROUND(I214*H214,2)</f>
        <v>0</v>
      </c>
      <c r="BL214" s="92" t="s">
        <v>806</v>
      </c>
      <c r="BM214" s="245" t="s">
        <v>1082</v>
      </c>
    </row>
    <row r="215" spans="2:65" s="106" customFormat="1">
      <c r="B215" s="107"/>
      <c r="D215" s="247" t="s">
        <v>808</v>
      </c>
      <c r="F215" s="248" t="s">
        <v>1083</v>
      </c>
      <c r="I215" s="167"/>
      <c r="L215" s="107"/>
      <c r="M215" s="249"/>
      <c r="T215" s="131"/>
      <c r="AT215" s="92" t="s">
        <v>808</v>
      </c>
      <c r="AU215" s="92" t="s">
        <v>769</v>
      </c>
    </row>
    <row r="216" spans="2:65" s="260" customFormat="1">
      <c r="B216" s="261"/>
      <c r="D216" s="247" t="s">
        <v>815</v>
      </c>
      <c r="E216" s="262" t="s">
        <v>25</v>
      </c>
      <c r="F216" s="263" t="s">
        <v>882</v>
      </c>
      <c r="H216" s="264">
        <v>115</v>
      </c>
      <c r="I216" s="265"/>
      <c r="L216" s="261"/>
      <c r="M216" s="266"/>
      <c r="T216" s="267"/>
      <c r="AT216" s="262" t="s">
        <v>815</v>
      </c>
      <c r="AU216" s="262" t="s">
        <v>769</v>
      </c>
      <c r="AV216" s="260" t="s">
        <v>769</v>
      </c>
      <c r="AW216" s="260" t="s">
        <v>720</v>
      </c>
      <c r="AX216" s="260" t="s">
        <v>767</v>
      </c>
      <c r="AY216" s="262" t="s">
        <v>800</v>
      </c>
    </row>
    <row r="217" spans="2:65" s="106" customFormat="1" ht="16.5" customHeight="1">
      <c r="B217" s="107"/>
      <c r="C217" s="250" t="s">
        <v>1084</v>
      </c>
      <c r="D217" s="250" t="s">
        <v>64</v>
      </c>
      <c r="E217" s="251" t="s">
        <v>1085</v>
      </c>
      <c r="F217" s="252" t="s">
        <v>1086</v>
      </c>
      <c r="G217" s="253" t="s">
        <v>593</v>
      </c>
      <c r="H217" s="254">
        <v>2.2999999999999998</v>
      </c>
      <c r="I217" s="255"/>
      <c r="J217" s="256">
        <f>ROUND(I217*H217,2)</f>
        <v>0</v>
      </c>
      <c r="K217" s="252" t="s">
        <v>924</v>
      </c>
      <c r="L217" s="257"/>
      <c r="M217" s="258" t="s">
        <v>25</v>
      </c>
      <c r="N217" s="259" t="s">
        <v>728</v>
      </c>
      <c r="P217" s="243">
        <f>O217*H217</f>
        <v>0</v>
      </c>
      <c r="Q217" s="243">
        <v>1E-3</v>
      </c>
      <c r="R217" s="243">
        <f>Q217*H217</f>
        <v>2.3E-3</v>
      </c>
      <c r="S217" s="243">
        <v>0</v>
      </c>
      <c r="T217" s="244">
        <f>S217*H217</f>
        <v>0</v>
      </c>
      <c r="AR217" s="245" t="s">
        <v>812</v>
      </c>
      <c r="AT217" s="245" t="s">
        <v>64</v>
      </c>
      <c r="AU217" s="245" t="s">
        <v>769</v>
      </c>
      <c r="AY217" s="92" t="s">
        <v>800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92" t="s">
        <v>767</v>
      </c>
      <c r="BK217" s="246">
        <f>ROUND(I217*H217,2)</f>
        <v>0</v>
      </c>
      <c r="BL217" s="92" t="s">
        <v>806</v>
      </c>
      <c r="BM217" s="245" t="s">
        <v>1087</v>
      </c>
    </row>
    <row r="218" spans="2:65" s="260" customFormat="1">
      <c r="B218" s="261"/>
      <c r="D218" s="247" t="s">
        <v>815</v>
      </c>
      <c r="F218" s="263" t="s">
        <v>1088</v>
      </c>
      <c r="H218" s="264">
        <v>2.2999999999999998</v>
      </c>
      <c r="I218" s="265"/>
      <c r="L218" s="261"/>
      <c r="M218" s="266"/>
      <c r="T218" s="267"/>
      <c r="AT218" s="262" t="s">
        <v>815</v>
      </c>
      <c r="AU218" s="262" t="s">
        <v>769</v>
      </c>
      <c r="AV218" s="260" t="s">
        <v>769</v>
      </c>
      <c r="AW218" s="260" t="s">
        <v>688</v>
      </c>
      <c r="AX218" s="260" t="s">
        <v>767</v>
      </c>
      <c r="AY218" s="262" t="s">
        <v>800</v>
      </c>
    </row>
    <row r="219" spans="2:65" s="106" customFormat="1" ht="16.5" customHeight="1">
      <c r="B219" s="107"/>
      <c r="C219" s="234" t="s">
        <v>1089</v>
      </c>
      <c r="D219" s="234" t="s">
        <v>556</v>
      </c>
      <c r="E219" s="235" t="s">
        <v>1090</v>
      </c>
      <c r="F219" s="236" t="s">
        <v>1091</v>
      </c>
      <c r="G219" s="237" t="s">
        <v>617</v>
      </c>
      <c r="H219" s="238">
        <v>115</v>
      </c>
      <c r="I219" s="239"/>
      <c r="J219" s="240">
        <f>ROUND(I219*H219,2)</f>
        <v>0</v>
      </c>
      <c r="K219" s="236" t="s">
        <v>805</v>
      </c>
      <c r="L219" s="107"/>
      <c r="M219" s="241" t="s">
        <v>25</v>
      </c>
      <c r="N219" s="242" t="s">
        <v>728</v>
      </c>
      <c r="P219" s="243">
        <f>O219*H219</f>
        <v>0</v>
      </c>
      <c r="Q219" s="243">
        <v>0</v>
      </c>
      <c r="R219" s="243">
        <f>Q219*H219</f>
        <v>0</v>
      </c>
      <c r="S219" s="243">
        <v>0</v>
      </c>
      <c r="T219" s="244">
        <f>S219*H219</f>
        <v>0</v>
      </c>
      <c r="AR219" s="245" t="s">
        <v>806</v>
      </c>
      <c r="AT219" s="245" t="s">
        <v>556</v>
      </c>
      <c r="AU219" s="245" t="s">
        <v>769</v>
      </c>
      <c r="AY219" s="92" t="s">
        <v>800</v>
      </c>
      <c r="BE219" s="246">
        <f>IF(N219="základní",J219,0)</f>
        <v>0</v>
      </c>
      <c r="BF219" s="246">
        <f>IF(N219="snížená",J219,0)</f>
        <v>0</v>
      </c>
      <c r="BG219" s="246">
        <f>IF(N219="zákl. přenesená",J219,0)</f>
        <v>0</v>
      </c>
      <c r="BH219" s="246">
        <f>IF(N219="sníž. přenesená",J219,0)</f>
        <v>0</v>
      </c>
      <c r="BI219" s="246">
        <f>IF(N219="nulová",J219,0)</f>
        <v>0</v>
      </c>
      <c r="BJ219" s="92" t="s">
        <v>767</v>
      </c>
      <c r="BK219" s="246">
        <f>ROUND(I219*H219,2)</f>
        <v>0</v>
      </c>
      <c r="BL219" s="92" t="s">
        <v>806</v>
      </c>
      <c r="BM219" s="245" t="s">
        <v>1092</v>
      </c>
    </row>
    <row r="220" spans="2:65" s="106" customFormat="1">
      <c r="B220" s="107"/>
      <c r="D220" s="247" t="s">
        <v>808</v>
      </c>
      <c r="F220" s="248" t="s">
        <v>1093</v>
      </c>
      <c r="I220" s="167"/>
      <c r="L220" s="107"/>
      <c r="M220" s="249"/>
      <c r="T220" s="131"/>
      <c r="AT220" s="92" t="s">
        <v>808</v>
      </c>
      <c r="AU220" s="92" t="s">
        <v>769</v>
      </c>
    </row>
    <row r="221" spans="2:65" s="221" customFormat="1" ht="22.9" customHeight="1">
      <c r="B221" s="222"/>
      <c r="D221" s="223" t="s">
        <v>549</v>
      </c>
      <c r="E221" s="232" t="s">
        <v>802</v>
      </c>
      <c r="F221" s="232" t="s">
        <v>1094</v>
      </c>
      <c r="I221" s="225"/>
      <c r="J221" s="233">
        <f>BK221</f>
        <v>0</v>
      </c>
      <c r="L221" s="222"/>
      <c r="M221" s="227"/>
      <c r="P221" s="228">
        <f>SUM(P222:P231)</f>
        <v>0</v>
      </c>
      <c r="R221" s="228">
        <f>SUM(R222:R231)</f>
        <v>8.7000000000000001E-4</v>
      </c>
      <c r="T221" s="229">
        <f>SUM(T222:T231)</f>
        <v>0</v>
      </c>
      <c r="AR221" s="223" t="s">
        <v>767</v>
      </c>
      <c r="AT221" s="230" t="s">
        <v>549</v>
      </c>
      <c r="AU221" s="230" t="s">
        <v>767</v>
      </c>
      <c r="AY221" s="223" t="s">
        <v>800</v>
      </c>
      <c r="BK221" s="231">
        <f>SUM(BK222:BK231)</f>
        <v>0</v>
      </c>
    </row>
    <row r="222" spans="2:65" s="106" customFormat="1" ht="21.75" customHeight="1">
      <c r="B222" s="107"/>
      <c r="C222" s="234" t="s">
        <v>1095</v>
      </c>
      <c r="D222" s="234" t="s">
        <v>556</v>
      </c>
      <c r="E222" s="235" t="s">
        <v>851</v>
      </c>
      <c r="F222" s="236" t="s">
        <v>1076</v>
      </c>
      <c r="G222" s="237" t="s">
        <v>617</v>
      </c>
      <c r="H222" s="238">
        <v>58</v>
      </c>
      <c r="I222" s="239"/>
      <c r="J222" s="240">
        <f>ROUND(I222*H222,2)</f>
        <v>0</v>
      </c>
      <c r="K222" s="236" t="s">
        <v>924</v>
      </c>
      <c r="L222" s="107"/>
      <c r="M222" s="241" t="s">
        <v>25</v>
      </c>
      <c r="N222" s="242" t="s">
        <v>728</v>
      </c>
      <c r="P222" s="243">
        <f>O222*H222</f>
        <v>0</v>
      </c>
      <c r="Q222" s="243">
        <v>0</v>
      </c>
      <c r="R222" s="243">
        <f>Q222*H222</f>
        <v>0</v>
      </c>
      <c r="S222" s="243">
        <v>0</v>
      </c>
      <c r="T222" s="244">
        <f>S222*H222</f>
        <v>0</v>
      </c>
      <c r="AR222" s="245" t="s">
        <v>806</v>
      </c>
      <c r="AT222" s="245" t="s">
        <v>556</v>
      </c>
      <c r="AU222" s="245" t="s">
        <v>769</v>
      </c>
      <c r="AY222" s="92" t="s">
        <v>800</v>
      </c>
      <c r="BE222" s="246">
        <f>IF(N222="základní",J222,0)</f>
        <v>0</v>
      </c>
      <c r="BF222" s="246">
        <f>IF(N222="snížená",J222,0)</f>
        <v>0</v>
      </c>
      <c r="BG222" s="246">
        <f>IF(N222="zákl. přenesená",J222,0)</f>
        <v>0</v>
      </c>
      <c r="BH222" s="246">
        <f>IF(N222="sníž. přenesená",J222,0)</f>
        <v>0</v>
      </c>
      <c r="BI222" s="246">
        <f>IF(N222="nulová",J222,0)</f>
        <v>0</v>
      </c>
      <c r="BJ222" s="92" t="s">
        <v>767</v>
      </c>
      <c r="BK222" s="246">
        <f>ROUND(I222*H222,2)</f>
        <v>0</v>
      </c>
      <c r="BL222" s="92" t="s">
        <v>806</v>
      </c>
      <c r="BM222" s="245" t="s">
        <v>1096</v>
      </c>
    </row>
    <row r="223" spans="2:65" s="106" customFormat="1" ht="19.5">
      <c r="B223" s="107"/>
      <c r="D223" s="247" t="s">
        <v>808</v>
      </c>
      <c r="F223" s="248" t="s">
        <v>1078</v>
      </c>
      <c r="I223" s="167"/>
      <c r="L223" s="107"/>
      <c r="M223" s="249"/>
      <c r="T223" s="131"/>
      <c r="AT223" s="92" t="s">
        <v>808</v>
      </c>
      <c r="AU223" s="92" t="s">
        <v>769</v>
      </c>
    </row>
    <row r="224" spans="2:65" s="106" customFormat="1" ht="16.5" customHeight="1">
      <c r="B224" s="107"/>
      <c r="C224" s="234" t="s">
        <v>1097</v>
      </c>
      <c r="D224" s="234" t="s">
        <v>556</v>
      </c>
      <c r="E224" s="235" t="s">
        <v>1098</v>
      </c>
      <c r="F224" s="236" t="s">
        <v>1099</v>
      </c>
      <c r="G224" s="237" t="s">
        <v>617</v>
      </c>
      <c r="H224" s="238">
        <v>58</v>
      </c>
      <c r="I224" s="239"/>
      <c r="J224" s="240">
        <f>ROUND(I224*H224,2)</f>
        <v>0</v>
      </c>
      <c r="K224" s="236" t="s">
        <v>805</v>
      </c>
      <c r="L224" s="107"/>
      <c r="M224" s="241" t="s">
        <v>25</v>
      </c>
      <c r="N224" s="242" t="s">
        <v>728</v>
      </c>
      <c r="P224" s="243">
        <f>O224*H224</f>
        <v>0</v>
      </c>
      <c r="Q224" s="243">
        <v>0</v>
      </c>
      <c r="R224" s="243">
        <f>Q224*H224</f>
        <v>0</v>
      </c>
      <c r="S224" s="243">
        <v>0</v>
      </c>
      <c r="T224" s="244">
        <f>S224*H224</f>
        <v>0</v>
      </c>
      <c r="AR224" s="245" t="s">
        <v>806</v>
      </c>
      <c r="AT224" s="245" t="s">
        <v>556</v>
      </c>
      <c r="AU224" s="245" t="s">
        <v>769</v>
      </c>
      <c r="AY224" s="92" t="s">
        <v>800</v>
      </c>
      <c r="BE224" s="246">
        <f>IF(N224="základní",J224,0)</f>
        <v>0</v>
      </c>
      <c r="BF224" s="246">
        <f>IF(N224="snížená",J224,0)</f>
        <v>0</v>
      </c>
      <c r="BG224" s="246">
        <f>IF(N224="zákl. přenesená",J224,0)</f>
        <v>0</v>
      </c>
      <c r="BH224" s="246">
        <f>IF(N224="sníž. přenesená",J224,0)</f>
        <v>0</v>
      </c>
      <c r="BI224" s="246">
        <f>IF(N224="nulová",J224,0)</f>
        <v>0</v>
      </c>
      <c r="BJ224" s="92" t="s">
        <v>767</v>
      </c>
      <c r="BK224" s="246">
        <f>ROUND(I224*H224,2)</f>
        <v>0</v>
      </c>
      <c r="BL224" s="92" t="s">
        <v>806</v>
      </c>
      <c r="BM224" s="245" t="s">
        <v>1100</v>
      </c>
    </row>
    <row r="225" spans="2:65" s="106" customFormat="1">
      <c r="B225" s="107"/>
      <c r="D225" s="247" t="s">
        <v>808</v>
      </c>
      <c r="F225" s="248" t="s">
        <v>1101</v>
      </c>
      <c r="I225" s="167"/>
      <c r="L225" s="107"/>
      <c r="M225" s="249"/>
      <c r="T225" s="131"/>
      <c r="AT225" s="92" t="s">
        <v>808</v>
      </c>
      <c r="AU225" s="92" t="s">
        <v>769</v>
      </c>
    </row>
    <row r="226" spans="2:65" s="106" customFormat="1" ht="16.5" customHeight="1">
      <c r="B226" s="107"/>
      <c r="C226" s="250" t="s">
        <v>1102</v>
      </c>
      <c r="D226" s="250" t="s">
        <v>64</v>
      </c>
      <c r="E226" s="251" t="s">
        <v>1103</v>
      </c>
      <c r="F226" s="252" t="s">
        <v>1104</v>
      </c>
      <c r="G226" s="253" t="s">
        <v>593</v>
      </c>
      <c r="H226" s="254">
        <v>0.87</v>
      </c>
      <c r="I226" s="255"/>
      <c r="J226" s="256">
        <f>ROUND(I226*H226,2)</f>
        <v>0</v>
      </c>
      <c r="K226" s="252" t="s">
        <v>924</v>
      </c>
      <c r="L226" s="257"/>
      <c r="M226" s="258" t="s">
        <v>25</v>
      </c>
      <c r="N226" s="259" t="s">
        <v>728</v>
      </c>
      <c r="P226" s="243">
        <f>O226*H226</f>
        <v>0</v>
      </c>
      <c r="Q226" s="243">
        <v>1E-3</v>
      </c>
      <c r="R226" s="243">
        <f>Q226*H226</f>
        <v>8.7000000000000001E-4</v>
      </c>
      <c r="S226" s="243">
        <v>0</v>
      </c>
      <c r="T226" s="244">
        <f>S226*H226</f>
        <v>0</v>
      </c>
      <c r="AR226" s="245" t="s">
        <v>812</v>
      </c>
      <c r="AT226" s="245" t="s">
        <v>64</v>
      </c>
      <c r="AU226" s="245" t="s">
        <v>769</v>
      </c>
      <c r="AY226" s="92" t="s">
        <v>800</v>
      </c>
      <c r="BE226" s="246">
        <f>IF(N226="základní",J226,0)</f>
        <v>0</v>
      </c>
      <c r="BF226" s="246">
        <f>IF(N226="snížená",J226,0)</f>
        <v>0</v>
      </c>
      <c r="BG226" s="246">
        <f>IF(N226="zákl. přenesená",J226,0)</f>
        <v>0</v>
      </c>
      <c r="BH226" s="246">
        <f>IF(N226="sníž. přenesená",J226,0)</f>
        <v>0</v>
      </c>
      <c r="BI226" s="246">
        <f>IF(N226="nulová",J226,0)</f>
        <v>0</v>
      </c>
      <c r="BJ226" s="92" t="s">
        <v>767</v>
      </c>
      <c r="BK226" s="246">
        <f>ROUND(I226*H226,2)</f>
        <v>0</v>
      </c>
      <c r="BL226" s="92" t="s">
        <v>806</v>
      </c>
      <c r="BM226" s="245" t="s">
        <v>1105</v>
      </c>
    </row>
    <row r="227" spans="2:65" s="106" customFormat="1">
      <c r="B227" s="107"/>
      <c r="D227" s="247" t="s">
        <v>808</v>
      </c>
      <c r="F227" s="248" t="s">
        <v>1106</v>
      </c>
      <c r="I227" s="167"/>
      <c r="L227" s="107"/>
      <c r="M227" s="249"/>
      <c r="T227" s="131"/>
      <c r="AT227" s="92" t="s">
        <v>808</v>
      </c>
      <c r="AU227" s="92" t="s">
        <v>769</v>
      </c>
    </row>
    <row r="228" spans="2:65" s="260" customFormat="1">
      <c r="B228" s="261"/>
      <c r="D228" s="247" t="s">
        <v>815</v>
      </c>
      <c r="E228" s="262" t="s">
        <v>25</v>
      </c>
      <c r="F228" s="263" t="s">
        <v>1060</v>
      </c>
      <c r="H228" s="264">
        <v>58</v>
      </c>
      <c r="I228" s="265"/>
      <c r="L228" s="261"/>
      <c r="M228" s="266"/>
      <c r="T228" s="267"/>
      <c r="AT228" s="262" t="s">
        <v>815</v>
      </c>
      <c r="AU228" s="262" t="s">
        <v>769</v>
      </c>
      <c r="AV228" s="260" t="s">
        <v>769</v>
      </c>
      <c r="AW228" s="260" t="s">
        <v>720</v>
      </c>
      <c r="AX228" s="260" t="s">
        <v>767</v>
      </c>
      <c r="AY228" s="262" t="s">
        <v>800</v>
      </c>
    </row>
    <row r="229" spans="2:65" s="260" customFormat="1">
      <c r="B229" s="261"/>
      <c r="D229" s="247" t="s">
        <v>815</v>
      </c>
      <c r="F229" s="263" t="s">
        <v>1107</v>
      </c>
      <c r="H229" s="264">
        <v>0.87</v>
      </c>
      <c r="I229" s="265"/>
      <c r="L229" s="261"/>
      <c r="M229" s="266"/>
      <c r="T229" s="267"/>
      <c r="AT229" s="262" t="s">
        <v>815</v>
      </c>
      <c r="AU229" s="262" t="s">
        <v>769</v>
      </c>
      <c r="AV229" s="260" t="s">
        <v>769</v>
      </c>
      <c r="AW229" s="260" t="s">
        <v>688</v>
      </c>
      <c r="AX229" s="260" t="s">
        <v>767</v>
      </c>
      <c r="AY229" s="262" t="s">
        <v>800</v>
      </c>
    </row>
    <row r="230" spans="2:65" s="106" customFormat="1" ht="16.5" customHeight="1">
      <c r="B230" s="107"/>
      <c r="C230" s="234" t="s">
        <v>1108</v>
      </c>
      <c r="D230" s="234" t="s">
        <v>556</v>
      </c>
      <c r="E230" s="235" t="s">
        <v>1109</v>
      </c>
      <c r="F230" s="236" t="s">
        <v>1110</v>
      </c>
      <c r="G230" s="237" t="s">
        <v>617</v>
      </c>
      <c r="H230" s="238">
        <v>58</v>
      </c>
      <c r="I230" s="239"/>
      <c r="J230" s="240">
        <f>ROUND(I230*H230,2)</f>
        <v>0</v>
      </c>
      <c r="K230" s="236" t="s">
        <v>805</v>
      </c>
      <c r="L230" s="107"/>
      <c r="M230" s="241" t="s">
        <v>25</v>
      </c>
      <c r="N230" s="242" t="s">
        <v>728</v>
      </c>
      <c r="P230" s="243">
        <f>O230*H230</f>
        <v>0</v>
      </c>
      <c r="Q230" s="243">
        <v>0</v>
      </c>
      <c r="R230" s="243">
        <f>Q230*H230</f>
        <v>0</v>
      </c>
      <c r="S230" s="243">
        <v>0</v>
      </c>
      <c r="T230" s="244">
        <f>S230*H230</f>
        <v>0</v>
      </c>
      <c r="AR230" s="245" t="s">
        <v>806</v>
      </c>
      <c r="AT230" s="245" t="s">
        <v>556</v>
      </c>
      <c r="AU230" s="245" t="s">
        <v>769</v>
      </c>
      <c r="AY230" s="92" t="s">
        <v>800</v>
      </c>
      <c r="BE230" s="246">
        <f>IF(N230="základní",J230,0)</f>
        <v>0</v>
      </c>
      <c r="BF230" s="246">
        <f>IF(N230="snížená",J230,0)</f>
        <v>0</v>
      </c>
      <c r="BG230" s="246">
        <f>IF(N230="zákl. přenesená",J230,0)</f>
        <v>0</v>
      </c>
      <c r="BH230" s="246">
        <f>IF(N230="sníž. přenesená",J230,0)</f>
        <v>0</v>
      </c>
      <c r="BI230" s="246">
        <f>IF(N230="nulová",J230,0)</f>
        <v>0</v>
      </c>
      <c r="BJ230" s="92" t="s">
        <v>767</v>
      </c>
      <c r="BK230" s="246">
        <f>ROUND(I230*H230,2)</f>
        <v>0</v>
      </c>
      <c r="BL230" s="92" t="s">
        <v>806</v>
      </c>
      <c r="BM230" s="245" t="s">
        <v>1111</v>
      </c>
    </row>
    <row r="231" spans="2:65" s="106" customFormat="1">
      <c r="B231" s="107"/>
      <c r="D231" s="247" t="s">
        <v>808</v>
      </c>
      <c r="F231" s="248" t="s">
        <v>1112</v>
      </c>
      <c r="I231" s="167"/>
      <c r="L231" s="107"/>
      <c r="M231" s="249"/>
      <c r="T231" s="131"/>
      <c r="AT231" s="92" t="s">
        <v>808</v>
      </c>
      <c r="AU231" s="92" t="s">
        <v>769</v>
      </c>
    </row>
    <row r="232" spans="2:65" s="221" customFormat="1" ht="22.9" customHeight="1">
      <c r="B232" s="222"/>
      <c r="D232" s="223" t="s">
        <v>549</v>
      </c>
      <c r="E232" s="232" t="s">
        <v>631</v>
      </c>
      <c r="F232" s="232" t="s">
        <v>632</v>
      </c>
      <c r="I232" s="225"/>
      <c r="J232" s="233">
        <f>BK232</f>
        <v>0</v>
      </c>
      <c r="L232" s="222"/>
      <c r="M232" s="227"/>
      <c r="P232" s="228">
        <f>P233+SUM(P234:P241)</f>
        <v>0</v>
      </c>
      <c r="R232" s="228">
        <f>R233+SUM(R234:R241)</f>
        <v>0</v>
      </c>
      <c r="T232" s="229">
        <f>T233+SUM(T234:T241)</f>
        <v>0</v>
      </c>
      <c r="AR232" s="223" t="s">
        <v>802</v>
      </c>
      <c r="AT232" s="230" t="s">
        <v>549</v>
      </c>
      <c r="AU232" s="230" t="s">
        <v>767</v>
      </c>
      <c r="AY232" s="223" t="s">
        <v>800</v>
      </c>
      <c r="BK232" s="231">
        <f>BK233+SUM(BK234:BK241)</f>
        <v>0</v>
      </c>
    </row>
    <row r="233" spans="2:65" s="106" customFormat="1" ht="16.5" customHeight="1">
      <c r="B233" s="107"/>
      <c r="C233" s="234" t="s">
        <v>1113</v>
      </c>
      <c r="D233" s="234" t="s">
        <v>556</v>
      </c>
      <c r="E233" s="235" t="s">
        <v>1114</v>
      </c>
      <c r="F233" s="236" t="s">
        <v>1115</v>
      </c>
      <c r="G233" s="237" t="s">
        <v>1030</v>
      </c>
      <c r="H233" s="238">
        <v>1</v>
      </c>
      <c r="I233" s="239"/>
      <c r="J233" s="240">
        <f>ROUND(I233*H233,2)</f>
        <v>0</v>
      </c>
      <c r="K233" s="236" t="s">
        <v>1116</v>
      </c>
      <c r="L233" s="107"/>
      <c r="M233" s="241" t="s">
        <v>25</v>
      </c>
      <c r="N233" s="242" t="s">
        <v>728</v>
      </c>
      <c r="P233" s="243">
        <f>O233*H233</f>
        <v>0</v>
      </c>
      <c r="Q233" s="243">
        <v>0</v>
      </c>
      <c r="R233" s="243">
        <f>Q233*H233</f>
        <v>0</v>
      </c>
      <c r="S233" s="243">
        <v>0</v>
      </c>
      <c r="T233" s="244">
        <f>S233*H233</f>
        <v>0</v>
      </c>
      <c r="AR233" s="245" t="s">
        <v>822</v>
      </c>
      <c r="AT233" s="245" t="s">
        <v>556</v>
      </c>
      <c r="AU233" s="245" t="s">
        <v>769</v>
      </c>
      <c r="AY233" s="92" t="s">
        <v>800</v>
      </c>
      <c r="BE233" s="246">
        <f>IF(N233="základní",J233,0)</f>
        <v>0</v>
      </c>
      <c r="BF233" s="246">
        <f>IF(N233="snížená",J233,0)</f>
        <v>0</v>
      </c>
      <c r="BG233" s="246">
        <f>IF(N233="zákl. přenesená",J233,0)</f>
        <v>0</v>
      </c>
      <c r="BH233" s="246">
        <f>IF(N233="sníž. přenesená",J233,0)</f>
        <v>0</v>
      </c>
      <c r="BI233" s="246">
        <f>IF(N233="nulová",J233,0)</f>
        <v>0</v>
      </c>
      <c r="BJ233" s="92" t="s">
        <v>767</v>
      </c>
      <c r="BK233" s="246">
        <f>ROUND(I233*H233,2)</f>
        <v>0</v>
      </c>
      <c r="BL233" s="92" t="s">
        <v>822</v>
      </c>
      <c r="BM233" s="245" t="s">
        <v>1117</v>
      </c>
    </row>
    <row r="234" spans="2:65" s="106" customFormat="1">
      <c r="B234" s="107"/>
      <c r="D234" s="247" t="s">
        <v>808</v>
      </c>
      <c r="F234" s="248" t="s">
        <v>1118</v>
      </c>
      <c r="I234" s="167"/>
      <c r="L234" s="107"/>
      <c r="M234" s="249"/>
      <c r="T234" s="131"/>
      <c r="AT234" s="92" t="s">
        <v>808</v>
      </c>
      <c r="AU234" s="92" t="s">
        <v>769</v>
      </c>
    </row>
    <row r="235" spans="2:65" s="106" customFormat="1" ht="16.5" customHeight="1">
      <c r="B235" s="107"/>
      <c r="C235" s="234" t="s">
        <v>1119</v>
      </c>
      <c r="D235" s="234" t="s">
        <v>556</v>
      </c>
      <c r="E235" s="235" t="s">
        <v>1120</v>
      </c>
      <c r="F235" s="236" t="s">
        <v>1121</v>
      </c>
      <c r="G235" s="237" t="s">
        <v>1030</v>
      </c>
      <c r="H235" s="238">
        <v>1</v>
      </c>
      <c r="I235" s="239"/>
      <c r="J235" s="240">
        <f>ROUND(I235*H235,2)</f>
        <v>0</v>
      </c>
      <c r="K235" s="236" t="s">
        <v>1116</v>
      </c>
      <c r="L235" s="107"/>
      <c r="M235" s="241" t="s">
        <v>25</v>
      </c>
      <c r="N235" s="242" t="s">
        <v>728</v>
      </c>
      <c r="P235" s="243">
        <f>O235*H235</f>
        <v>0</v>
      </c>
      <c r="Q235" s="243">
        <v>0</v>
      </c>
      <c r="R235" s="243">
        <f>Q235*H235</f>
        <v>0</v>
      </c>
      <c r="S235" s="243">
        <v>0</v>
      </c>
      <c r="T235" s="244">
        <f>S235*H235</f>
        <v>0</v>
      </c>
      <c r="AR235" s="245" t="s">
        <v>822</v>
      </c>
      <c r="AT235" s="245" t="s">
        <v>556</v>
      </c>
      <c r="AU235" s="245" t="s">
        <v>769</v>
      </c>
      <c r="AY235" s="92" t="s">
        <v>800</v>
      </c>
      <c r="BE235" s="246">
        <f>IF(N235="základní",J235,0)</f>
        <v>0</v>
      </c>
      <c r="BF235" s="246">
        <f>IF(N235="snížená",J235,0)</f>
        <v>0</v>
      </c>
      <c r="BG235" s="246">
        <f>IF(N235="zákl. přenesená",J235,0)</f>
        <v>0</v>
      </c>
      <c r="BH235" s="246">
        <f>IF(N235="sníž. přenesená",J235,0)</f>
        <v>0</v>
      </c>
      <c r="BI235" s="246">
        <f>IF(N235="nulová",J235,0)</f>
        <v>0</v>
      </c>
      <c r="BJ235" s="92" t="s">
        <v>767</v>
      </c>
      <c r="BK235" s="246">
        <f>ROUND(I235*H235,2)</f>
        <v>0</v>
      </c>
      <c r="BL235" s="92" t="s">
        <v>822</v>
      </c>
      <c r="BM235" s="245" t="s">
        <v>1122</v>
      </c>
    </row>
    <row r="236" spans="2:65" s="106" customFormat="1">
      <c r="B236" s="107"/>
      <c r="D236" s="247" t="s">
        <v>808</v>
      </c>
      <c r="F236" s="248" t="s">
        <v>1121</v>
      </c>
      <c r="I236" s="167"/>
      <c r="L236" s="107"/>
      <c r="M236" s="249"/>
      <c r="T236" s="131"/>
      <c r="AT236" s="92" t="s">
        <v>808</v>
      </c>
      <c r="AU236" s="92" t="s">
        <v>769</v>
      </c>
    </row>
    <row r="237" spans="2:65" s="106" customFormat="1" ht="16.5" customHeight="1">
      <c r="B237" s="107"/>
      <c r="C237" s="234" t="s">
        <v>1123</v>
      </c>
      <c r="D237" s="234" t="s">
        <v>556</v>
      </c>
      <c r="E237" s="235" t="s">
        <v>820</v>
      </c>
      <c r="F237" s="236" t="s">
        <v>1124</v>
      </c>
      <c r="G237" s="237" t="s">
        <v>1030</v>
      </c>
      <c r="H237" s="238">
        <v>1</v>
      </c>
      <c r="I237" s="239"/>
      <c r="J237" s="240">
        <f>ROUND(I237*H237,2)</f>
        <v>0</v>
      </c>
      <c r="K237" s="236" t="s">
        <v>947</v>
      </c>
      <c r="L237" s="107"/>
      <c r="M237" s="241" t="s">
        <v>25</v>
      </c>
      <c r="N237" s="242" t="s">
        <v>728</v>
      </c>
      <c r="P237" s="243">
        <f>O237*H237</f>
        <v>0</v>
      </c>
      <c r="Q237" s="243">
        <v>0</v>
      </c>
      <c r="R237" s="243">
        <f>Q237*H237</f>
        <v>0</v>
      </c>
      <c r="S237" s="243">
        <v>0</v>
      </c>
      <c r="T237" s="244">
        <f>S237*H237</f>
        <v>0</v>
      </c>
      <c r="AR237" s="245" t="s">
        <v>822</v>
      </c>
      <c r="AT237" s="245" t="s">
        <v>556</v>
      </c>
      <c r="AU237" s="245" t="s">
        <v>769</v>
      </c>
      <c r="AY237" s="92" t="s">
        <v>800</v>
      </c>
      <c r="BE237" s="246">
        <f>IF(N237="základní",J237,0)</f>
        <v>0</v>
      </c>
      <c r="BF237" s="246">
        <f>IF(N237="snížená",J237,0)</f>
        <v>0</v>
      </c>
      <c r="BG237" s="246">
        <f>IF(N237="zákl. přenesená",J237,0)</f>
        <v>0</v>
      </c>
      <c r="BH237" s="246">
        <f>IF(N237="sníž. přenesená",J237,0)</f>
        <v>0</v>
      </c>
      <c r="BI237" s="246">
        <f>IF(N237="nulová",J237,0)</f>
        <v>0</v>
      </c>
      <c r="BJ237" s="92" t="s">
        <v>767</v>
      </c>
      <c r="BK237" s="246">
        <f>ROUND(I237*H237,2)</f>
        <v>0</v>
      </c>
      <c r="BL237" s="92" t="s">
        <v>822</v>
      </c>
      <c r="BM237" s="245" t="s">
        <v>1125</v>
      </c>
    </row>
    <row r="238" spans="2:65" s="106" customFormat="1">
      <c r="B238" s="107"/>
      <c r="D238" s="247" t="s">
        <v>808</v>
      </c>
      <c r="F238" s="248" t="s">
        <v>819</v>
      </c>
      <c r="I238" s="167"/>
      <c r="L238" s="107"/>
      <c r="M238" s="249"/>
      <c r="T238" s="131"/>
      <c r="AT238" s="92" t="s">
        <v>808</v>
      </c>
      <c r="AU238" s="92" t="s">
        <v>769</v>
      </c>
    </row>
    <row r="239" spans="2:65" s="106" customFormat="1" ht="16.5" customHeight="1">
      <c r="B239" s="107"/>
      <c r="C239" s="234" t="s">
        <v>1126</v>
      </c>
      <c r="D239" s="234" t="s">
        <v>556</v>
      </c>
      <c r="E239" s="235" t="s">
        <v>1127</v>
      </c>
      <c r="F239" s="236" t="s">
        <v>1128</v>
      </c>
      <c r="G239" s="237" t="s">
        <v>1030</v>
      </c>
      <c r="H239" s="238">
        <v>1</v>
      </c>
      <c r="I239" s="239"/>
      <c r="J239" s="240">
        <f>ROUND(I239*H239,2)</f>
        <v>0</v>
      </c>
      <c r="K239" s="236" t="s">
        <v>947</v>
      </c>
      <c r="L239" s="107"/>
      <c r="M239" s="241" t="s">
        <v>25</v>
      </c>
      <c r="N239" s="242" t="s">
        <v>728</v>
      </c>
      <c r="P239" s="243">
        <f>O239*H239</f>
        <v>0</v>
      </c>
      <c r="Q239" s="243">
        <v>0</v>
      </c>
      <c r="R239" s="243">
        <f>Q239*H239</f>
        <v>0</v>
      </c>
      <c r="S239" s="243">
        <v>0</v>
      </c>
      <c r="T239" s="244">
        <f>S239*H239</f>
        <v>0</v>
      </c>
      <c r="AR239" s="245" t="s">
        <v>822</v>
      </c>
      <c r="AT239" s="245" t="s">
        <v>556</v>
      </c>
      <c r="AU239" s="245" t="s">
        <v>769</v>
      </c>
      <c r="AY239" s="92" t="s">
        <v>800</v>
      </c>
      <c r="BE239" s="246">
        <f>IF(N239="základní",J239,0)</f>
        <v>0</v>
      </c>
      <c r="BF239" s="246">
        <f>IF(N239="snížená",J239,0)</f>
        <v>0</v>
      </c>
      <c r="BG239" s="246">
        <f>IF(N239="zákl. přenesená",J239,0)</f>
        <v>0</v>
      </c>
      <c r="BH239" s="246">
        <f>IF(N239="sníž. přenesená",J239,0)</f>
        <v>0</v>
      </c>
      <c r="BI239" s="246">
        <f>IF(N239="nulová",J239,0)</f>
        <v>0</v>
      </c>
      <c r="BJ239" s="92" t="s">
        <v>767</v>
      </c>
      <c r="BK239" s="246">
        <f>ROUND(I239*H239,2)</f>
        <v>0</v>
      </c>
      <c r="BL239" s="92" t="s">
        <v>822</v>
      </c>
      <c r="BM239" s="245" t="s">
        <v>1129</v>
      </c>
    </row>
    <row r="240" spans="2:65" s="106" customFormat="1">
      <c r="B240" s="107"/>
      <c r="D240" s="247" t="s">
        <v>808</v>
      </c>
      <c r="F240" s="248" t="s">
        <v>1128</v>
      </c>
      <c r="I240" s="167"/>
      <c r="L240" s="107"/>
      <c r="M240" s="249"/>
      <c r="T240" s="131"/>
      <c r="AT240" s="92" t="s">
        <v>808</v>
      </c>
      <c r="AU240" s="92" t="s">
        <v>769</v>
      </c>
    </row>
    <row r="241" spans="2:65" s="221" customFormat="1" ht="20.85" customHeight="1">
      <c r="B241" s="222"/>
      <c r="D241" s="223" t="s">
        <v>549</v>
      </c>
      <c r="E241" s="232" t="s">
        <v>1130</v>
      </c>
      <c r="F241" s="232" t="s">
        <v>1131</v>
      </c>
      <c r="I241" s="225"/>
      <c r="J241" s="233">
        <f>BK241</f>
        <v>0</v>
      </c>
      <c r="L241" s="222"/>
      <c r="M241" s="227"/>
      <c r="P241" s="228">
        <f>SUM(P242:P243)</f>
        <v>0</v>
      </c>
      <c r="R241" s="228">
        <f>SUM(R242:R243)</f>
        <v>0</v>
      </c>
      <c r="T241" s="229">
        <f>SUM(T242:T243)</f>
        <v>0</v>
      </c>
      <c r="AR241" s="223" t="s">
        <v>767</v>
      </c>
      <c r="AT241" s="230" t="s">
        <v>549</v>
      </c>
      <c r="AU241" s="230" t="s">
        <v>769</v>
      </c>
      <c r="AY241" s="223" t="s">
        <v>800</v>
      </c>
      <c r="BK241" s="231">
        <f>SUM(BK242:BK243)</f>
        <v>0</v>
      </c>
    </row>
    <row r="242" spans="2:65" s="106" customFormat="1" ht="16.5" customHeight="1">
      <c r="B242" s="107"/>
      <c r="C242" s="234" t="s">
        <v>1132</v>
      </c>
      <c r="D242" s="234" t="s">
        <v>556</v>
      </c>
      <c r="E242" s="235" t="s">
        <v>1133</v>
      </c>
      <c r="F242" s="236" t="s">
        <v>1134</v>
      </c>
      <c r="G242" s="237" t="s">
        <v>623</v>
      </c>
      <c r="H242" s="238">
        <v>0.5</v>
      </c>
      <c r="I242" s="239"/>
      <c r="J242" s="240">
        <f>ROUND(I242*H242,2)</f>
        <v>0</v>
      </c>
      <c r="K242" s="236" t="s">
        <v>924</v>
      </c>
      <c r="L242" s="107"/>
      <c r="M242" s="241" t="s">
        <v>25</v>
      </c>
      <c r="N242" s="242" t="s">
        <v>728</v>
      </c>
      <c r="P242" s="243">
        <f>O242*H242</f>
        <v>0</v>
      </c>
      <c r="Q242" s="243">
        <v>0</v>
      </c>
      <c r="R242" s="243">
        <f>Q242*H242</f>
        <v>0</v>
      </c>
      <c r="S242" s="243">
        <v>0</v>
      </c>
      <c r="T242" s="244">
        <f>S242*H242</f>
        <v>0</v>
      </c>
      <c r="AR242" s="245" t="s">
        <v>806</v>
      </c>
      <c r="AT242" s="245" t="s">
        <v>556</v>
      </c>
      <c r="AU242" s="245" t="s">
        <v>890</v>
      </c>
      <c r="AY242" s="92" t="s">
        <v>800</v>
      </c>
      <c r="BE242" s="246">
        <f>IF(N242="základní",J242,0)</f>
        <v>0</v>
      </c>
      <c r="BF242" s="246">
        <f>IF(N242="snížená",J242,0)</f>
        <v>0</v>
      </c>
      <c r="BG242" s="246">
        <f>IF(N242="zákl. přenesená",J242,0)</f>
        <v>0</v>
      </c>
      <c r="BH242" s="246">
        <f>IF(N242="sníž. přenesená",J242,0)</f>
        <v>0</v>
      </c>
      <c r="BI242" s="246">
        <f>IF(N242="nulová",J242,0)</f>
        <v>0</v>
      </c>
      <c r="BJ242" s="92" t="s">
        <v>767</v>
      </c>
      <c r="BK242" s="246">
        <f>ROUND(I242*H242,2)</f>
        <v>0</v>
      </c>
      <c r="BL242" s="92" t="s">
        <v>806</v>
      </c>
      <c r="BM242" s="245" t="s">
        <v>1135</v>
      </c>
    </row>
    <row r="243" spans="2:65" s="106" customFormat="1">
      <c r="B243" s="107"/>
      <c r="D243" s="247" t="s">
        <v>808</v>
      </c>
      <c r="F243" s="248" t="s">
        <v>1136</v>
      </c>
      <c r="I243" s="167"/>
      <c r="L243" s="107"/>
      <c r="M243" s="268"/>
      <c r="N243" s="269"/>
      <c r="O243" s="269"/>
      <c r="P243" s="269"/>
      <c r="Q243" s="269"/>
      <c r="R243" s="269"/>
      <c r="S243" s="269"/>
      <c r="T243" s="270"/>
      <c r="AT243" s="92" t="s">
        <v>808</v>
      </c>
      <c r="AU243" s="92" t="s">
        <v>890</v>
      </c>
    </row>
    <row r="244" spans="2:65" s="106" customFormat="1" ht="6.95" customHeight="1">
      <c r="B244" s="119"/>
      <c r="C244" s="120"/>
      <c r="D244" s="120"/>
      <c r="E244" s="120"/>
      <c r="F244" s="120"/>
      <c r="G244" s="120"/>
      <c r="H244" s="120"/>
      <c r="I244" s="192"/>
      <c r="J244" s="120"/>
      <c r="K244" s="120"/>
      <c r="L244" s="107"/>
    </row>
  </sheetData>
  <sheetProtection formatColumns="0" formatRows="0" autoFilter="0"/>
  <autoFilter ref="C123:K243" xr:uid="{00000000-0009-0000-0000-000003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A8799-3A04-418C-AFF6-BFD273D4A3B7}">
  <sheetPr>
    <tabColor theme="7" tint="0.39997558519241921"/>
    <pageSetUpPr fitToPage="1"/>
  </sheetPr>
  <dimension ref="B2:BM277"/>
  <sheetViews>
    <sheetView showGridLines="0" workbookViewId="0"/>
  </sheetViews>
  <sheetFormatPr defaultRowHeight="11.25"/>
  <cols>
    <col min="1" max="1" width="7.140625" style="91" customWidth="1"/>
    <col min="2" max="2" width="1.42578125" style="91" customWidth="1"/>
    <col min="3" max="3" width="3.5703125" style="91" customWidth="1"/>
    <col min="4" max="4" width="3.7109375" style="91" customWidth="1"/>
    <col min="5" max="5" width="14.7109375" style="91" customWidth="1"/>
    <col min="6" max="6" width="86.42578125" style="91" customWidth="1"/>
    <col min="7" max="7" width="6" style="91" customWidth="1"/>
    <col min="8" max="8" width="9.85546875" style="91" customWidth="1"/>
    <col min="9" max="9" width="17.28515625" style="164" customWidth="1"/>
    <col min="10" max="11" width="17.28515625" style="91" customWidth="1"/>
    <col min="12" max="12" width="8" style="91" customWidth="1"/>
    <col min="13" max="13" width="9.28515625" style="91" hidden="1" customWidth="1"/>
    <col min="14" max="14" width="9.140625" style="91"/>
    <col min="15" max="20" width="12.140625" style="91" hidden="1" customWidth="1"/>
    <col min="21" max="21" width="14" style="91" hidden="1" customWidth="1"/>
    <col min="22" max="22" width="10.5703125" style="91" customWidth="1"/>
    <col min="23" max="23" width="14" style="91" customWidth="1"/>
    <col min="24" max="24" width="10.5703125" style="91" customWidth="1"/>
    <col min="25" max="25" width="12.85546875" style="91" customWidth="1"/>
    <col min="26" max="26" width="9.42578125" style="91" customWidth="1"/>
    <col min="27" max="27" width="12.85546875" style="91" customWidth="1"/>
    <col min="28" max="28" width="14" style="91" customWidth="1"/>
    <col min="29" max="29" width="9.42578125" style="91" customWidth="1"/>
    <col min="30" max="30" width="12.85546875" style="91" customWidth="1"/>
    <col min="31" max="31" width="14" style="91" customWidth="1"/>
    <col min="32" max="16384" width="9.140625" style="91"/>
  </cols>
  <sheetData>
    <row r="2" spans="2:46" ht="36.950000000000003" customHeight="1"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92" t="s">
        <v>775</v>
      </c>
    </row>
    <row r="3" spans="2:46" ht="6.95" customHeight="1">
      <c r="B3" s="93"/>
      <c r="C3" s="94"/>
      <c r="D3" s="94"/>
      <c r="E3" s="94"/>
      <c r="F3" s="94"/>
      <c r="G3" s="94"/>
      <c r="H3" s="94"/>
      <c r="I3" s="165"/>
      <c r="J3" s="94"/>
      <c r="K3" s="94"/>
      <c r="L3" s="95"/>
      <c r="AT3" s="92" t="s">
        <v>769</v>
      </c>
    </row>
    <row r="4" spans="2:46" ht="24.95" customHeight="1">
      <c r="B4" s="95"/>
      <c r="D4" s="96" t="s">
        <v>776</v>
      </c>
      <c r="L4" s="95"/>
      <c r="M4" s="166" t="s">
        <v>694</v>
      </c>
      <c r="AT4" s="92" t="s">
        <v>688</v>
      </c>
    </row>
    <row r="5" spans="2:46" ht="6.95" customHeight="1">
      <c r="B5" s="95"/>
      <c r="L5" s="95"/>
    </row>
    <row r="6" spans="2:46" ht="12" customHeight="1">
      <c r="B6" s="95"/>
      <c r="D6" s="101" t="s">
        <v>700</v>
      </c>
      <c r="L6" s="95"/>
    </row>
    <row r="7" spans="2:46" ht="16.5" customHeight="1">
      <c r="B7" s="95"/>
      <c r="E7" s="337" t="str">
        <f>'19 - SO801_podrobně'!K6</f>
        <v>Lávka přes Labe v Nymburce - terénní a vegetační úpravy</v>
      </c>
      <c r="F7" s="338"/>
      <c r="G7" s="338"/>
      <c r="H7" s="338"/>
      <c r="L7" s="95"/>
    </row>
    <row r="8" spans="2:46" s="106" customFormat="1" ht="12" customHeight="1">
      <c r="B8" s="107"/>
      <c r="D8" s="101" t="s">
        <v>777</v>
      </c>
      <c r="I8" s="167"/>
      <c r="L8" s="107"/>
    </row>
    <row r="9" spans="2:46" s="106" customFormat="1" ht="16.5" customHeight="1">
      <c r="B9" s="107"/>
      <c r="E9" s="315" t="s">
        <v>1137</v>
      </c>
      <c r="F9" s="336"/>
      <c r="G9" s="336"/>
      <c r="H9" s="336"/>
      <c r="I9" s="167"/>
      <c r="L9" s="107"/>
    </row>
    <row r="10" spans="2:46" s="106" customFormat="1">
      <c r="B10" s="107"/>
      <c r="I10" s="167"/>
      <c r="L10" s="107"/>
    </row>
    <row r="11" spans="2:46" s="106" customFormat="1" ht="12" customHeight="1">
      <c r="B11" s="107"/>
      <c r="D11" s="101" t="s">
        <v>702</v>
      </c>
      <c r="F11" s="102" t="s">
        <v>25</v>
      </c>
      <c r="I11" s="168" t="s">
        <v>703</v>
      </c>
      <c r="J11" s="102" t="s">
        <v>25</v>
      </c>
      <c r="L11" s="107"/>
    </row>
    <row r="12" spans="2:46" s="106" customFormat="1" ht="12" customHeight="1">
      <c r="B12" s="107"/>
      <c r="D12" s="101" t="s">
        <v>704</v>
      </c>
      <c r="F12" s="102" t="s">
        <v>705</v>
      </c>
      <c r="I12" s="168" t="s">
        <v>706</v>
      </c>
      <c r="J12" s="169" t="str">
        <f>'19 - SO801_podrobně'!AN8</f>
        <v>21. 11. 2019</v>
      </c>
      <c r="L12" s="107"/>
    </row>
    <row r="13" spans="2:46" s="106" customFormat="1" ht="10.9" customHeight="1">
      <c r="B13" s="107"/>
      <c r="I13" s="167"/>
      <c r="L13" s="107"/>
    </row>
    <row r="14" spans="2:46" s="106" customFormat="1" ht="12" customHeight="1">
      <c r="B14" s="107"/>
      <c r="D14" s="101" t="s">
        <v>708</v>
      </c>
      <c r="I14" s="168" t="s">
        <v>709</v>
      </c>
      <c r="J14" s="102" t="s">
        <v>25</v>
      </c>
      <c r="L14" s="107"/>
    </row>
    <row r="15" spans="2:46" s="106" customFormat="1" ht="18" customHeight="1">
      <c r="B15" s="107"/>
      <c r="E15" s="102" t="s">
        <v>711</v>
      </c>
      <c r="I15" s="168" t="s">
        <v>712</v>
      </c>
      <c r="J15" s="102" t="s">
        <v>25</v>
      </c>
      <c r="L15" s="107"/>
    </row>
    <row r="16" spans="2:46" s="106" customFormat="1" ht="6.95" customHeight="1">
      <c r="B16" s="107"/>
      <c r="I16" s="167"/>
      <c r="L16" s="107"/>
    </row>
    <row r="17" spans="2:12" s="106" customFormat="1" ht="12" customHeight="1">
      <c r="B17" s="107"/>
      <c r="D17" s="101" t="s">
        <v>714</v>
      </c>
      <c r="I17" s="168" t="s">
        <v>709</v>
      </c>
      <c r="J17" s="103" t="str">
        <f>'19 - SO801_podrobně'!AN13</f>
        <v>Vyplň údaj</v>
      </c>
      <c r="L17" s="107"/>
    </row>
    <row r="18" spans="2:12" s="106" customFormat="1" ht="18" customHeight="1">
      <c r="B18" s="107"/>
      <c r="E18" s="339" t="str">
        <f>'19 - SO801_podrobně'!E14</f>
        <v>Vyplň údaj</v>
      </c>
      <c r="F18" s="325"/>
      <c r="G18" s="325"/>
      <c r="H18" s="325"/>
      <c r="I18" s="168" t="s">
        <v>712</v>
      </c>
      <c r="J18" s="103" t="str">
        <f>'19 - SO801_podrobně'!AN14</f>
        <v>Vyplň údaj</v>
      </c>
      <c r="L18" s="107"/>
    </row>
    <row r="19" spans="2:12" s="106" customFormat="1" ht="6.95" customHeight="1">
      <c r="B19" s="107"/>
      <c r="I19" s="167"/>
      <c r="L19" s="107"/>
    </row>
    <row r="20" spans="2:12" s="106" customFormat="1" ht="12" customHeight="1">
      <c r="B20" s="107"/>
      <c r="D20" s="101" t="s">
        <v>716</v>
      </c>
      <c r="I20" s="168" t="s">
        <v>709</v>
      </c>
      <c r="J20" s="102" t="s">
        <v>717</v>
      </c>
      <c r="L20" s="107"/>
    </row>
    <row r="21" spans="2:12" s="106" customFormat="1" ht="18" customHeight="1">
      <c r="B21" s="107"/>
      <c r="E21" s="102" t="s">
        <v>718</v>
      </c>
      <c r="I21" s="168" t="s">
        <v>712</v>
      </c>
      <c r="J21" s="102" t="s">
        <v>719</v>
      </c>
      <c r="L21" s="107"/>
    </row>
    <row r="22" spans="2:12" s="106" customFormat="1" ht="6.95" customHeight="1">
      <c r="B22" s="107"/>
      <c r="I22" s="167"/>
      <c r="L22" s="107"/>
    </row>
    <row r="23" spans="2:12" s="106" customFormat="1" ht="12" customHeight="1">
      <c r="B23" s="107"/>
      <c r="D23" s="101" t="s">
        <v>721</v>
      </c>
      <c r="I23" s="168" t="s">
        <v>709</v>
      </c>
      <c r="J23" s="102" t="s">
        <v>717</v>
      </c>
      <c r="L23" s="107"/>
    </row>
    <row r="24" spans="2:12" s="106" customFormat="1" ht="18" customHeight="1">
      <c r="B24" s="107"/>
      <c r="E24" s="102" t="s">
        <v>718</v>
      </c>
      <c r="I24" s="168" t="s">
        <v>712</v>
      </c>
      <c r="J24" s="102" t="s">
        <v>719</v>
      </c>
      <c r="L24" s="107"/>
    </row>
    <row r="25" spans="2:12" s="106" customFormat="1" ht="6.95" customHeight="1">
      <c r="B25" s="107"/>
      <c r="I25" s="167"/>
      <c r="L25" s="107"/>
    </row>
    <row r="26" spans="2:12" s="106" customFormat="1" ht="12" customHeight="1">
      <c r="B26" s="107"/>
      <c r="D26" s="101" t="s">
        <v>722</v>
      </c>
      <c r="I26" s="167"/>
      <c r="L26" s="107"/>
    </row>
    <row r="27" spans="2:12" s="170" customFormat="1" ht="16.5" customHeight="1">
      <c r="B27" s="171"/>
      <c r="E27" s="332" t="s">
        <v>25</v>
      </c>
      <c r="F27" s="332"/>
      <c r="G27" s="332"/>
      <c r="H27" s="332"/>
      <c r="I27" s="172"/>
      <c r="L27" s="171"/>
    </row>
    <row r="28" spans="2:12" s="106" customFormat="1" ht="6.95" customHeight="1">
      <c r="B28" s="107"/>
      <c r="I28" s="167"/>
      <c r="L28" s="107"/>
    </row>
    <row r="29" spans="2:12" s="106" customFormat="1" ht="6.95" customHeight="1">
      <c r="B29" s="107"/>
      <c r="D29" s="129"/>
      <c r="E29" s="129"/>
      <c r="F29" s="129"/>
      <c r="G29" s="129"/>
      <c r="H29" s="129"/>
      <c r="I29" s="173"/>
      <c r="J29" s="129"/>
      <c r="K29" s="129"/>
      <c r="L29" s="107"/>
    </row>
    <row r="30" spans="2:12" s="106" customFormat="1" ht="25.35" customHeight="1">
      <c r="B30" s="107"/>
      <c r="D30" s="174" t="s">
        <v>723</v>
      </c>
      <c r="I30" s="167"/>
      <c r="J30" s="175">
        <f>ROUND(J125, 2)</f>
        <v>0</v>
      </c>
      <c r="L30" s="107"/>
    </row>
    <row r="31" spans="2:12" s="106" customFormat="1" ht="6.95" customHeight="1">
      <c r="B31" s="107"/>
      <c r="D31" s="129"/>
      <c r="E31" s="129"/>
      <c r="F31" s="129"/>
      <c r="G31" s="129"/>
      <c r="H31" s="129"/>
      <c r="I31" s="173"/>
      <c r="J31" s="129"/>
      <c r="K31" s="129"/>
      <c r="L31" s="107"/>
    </row>
    <row r="32" spans="2:12" s="106" customFormat="1" ht="14.45" customHeight="1">
      <c r="B32" s="107"/>
      <c r="F32" s="176" t="s">
        <v>725</v>
      </c>
      <c r="I32" s="177" t="s">
        <v>724</v>
      </c>
      <c r="J32" s="176" t="s">
        <v>726</v>
      </c>
      <c r="L32" s="107"/>
    </row>
    <row r="33" spans="2:12" s="106" customFormat="1" ht="14.45" customHeight="1">
      <c r="B33" s="107"/>
      <c r="D33" s="178" t="s">
        <v>727</v>
      </c>
      <c r="E33" s="101" t="s">
        <v>728</v>
      </c>
      <c r="F33" s="179">
        <f>ROUND((SUM(BE125:BE276)),  2)</f>
        <v>0</v>
      </c>
      <c r="I33" s="180">
        <v>0.21</v>
      </c>
      <c r="J33" s="179">
        <f>ROUND(((SUM(BE125:BE276))*I33),  2)</f>
        <v>0</v>
      </c>
      <c r="L33" s="107"/>
    </row>
    <row r="34" spans="2:12" s="106" customFormat="1" ht="14.45" customHeight="1">
      <c r="B34" s="107"/>
      <c r="E34" s="101" t="s">
        <v>729</v>
      </c>
      <c r="F34" s="179">
        <f>ROUND((SUM(BF125:BF276)),  2)</f>
        <v>0</v>
      </c>
      <c r="I34" s="180">
        <v>0.15</v>
      </c>
      <c r="J34" s="179">
        <f>ROUND(((SUM(BF125:BF276))*I34),  2)</f>
        <v>0</v>
      </c>
      <c r="L34" s="107"/>
    </row>
    <row r="35" spans="2:12" s="106" customFormat="1" ht="14.45" hidden="1" customHeight="1">
      <c r="B35" s="107"/>
      <c r="E35" s="101" t="s">
        <v>730</v>
      </c>
      <c r="F35" s="179">
        <f>ROUND((SUM(BG125:BG276)),  2)</f>
        <v>0</v>
      </c>
      <c r="I35" s="180">
        <v>0.21</v>
      </c>
      <c r="J35" s="179">
        <f>0</f>
        <v>0</v>
      </c>
      <c r="L35" s="107"/>
    </row>
    <row r="36" spans="2:12" s="106" customFormat="1" ht="14.45" hidden="1" customHeight="1">
      <c r="B36" s="107"/>
      <c r="E36" s="101" t="s">
        <v>731</v>
      </c>
      <c r="F36" s="179">
        <f>ROUND((SUM(BH125:BH276)),  2)</f>
        <v>0</v>
      </c>
      <c r="I36" s="180">
        <v>0.15</v>
      </c>
      <c r="J36" s="179">
        <f>0</f>
        <v>0</v>
      </c>
      <c r="L36" s="107"/>
    </row>
    <row r="37" spans="2:12" s="106" customFormat="1" ht="14.45" hidden="1" customHeight="1">
      <c r="B37" s="107"/>
      <c r="E37" s="101" t="s">
        <v>732</v>
      </c>
      <c r="F37" s="179">
        <f>ROUND((SUM(BI125:BI276)),  2)</f>
        <v>0</v>
      </c>
      <c r="I37" s="180">
        <v>0</v>
      </c>
      <c r="J37" s="179">
        <f>0</f>
        <v>0</v>
      </c>
      <c r="L37" s="107"/>
    </row>
    <row r="38" spans="2:12" s="106" customFormat="1" ht="6.95" customHeight="1">
      <c r="B38" s="107"/>
      <c r="I38" s="167"/>
      <c r="L38" s="107"/>
    </row>
    <row r="39" spans="2:12" s="106" customFormat="1" ht="25.35" customHeight="1">
      <c r="B39" s="107"/>
      <c r="C39" s="181"/>
      <c r="D39" s="182" t="s">
        <v>733</v>
      </c>
      <c r="E39" s="132"/>
      <c r="F39" s="132"/>
      <c r="G39" s="183" t="s">
        <v>734</v>
      </c>
      <c r="H39" s="184" t="s">
        <v>735</v>
      </c>
      <c r="I39" s="185"/>
      <c r="J39" s="186">
        <f>SUM(J30:J37)</f>
        <v>0</v>
      </c>
      <c r="K39" s="187"/>
      <c r="L39" s="107"/>
    </row>
    <row r="40" spans="2:12" s="106" customFormat="1" ht="14.45" customHeight="1">
      <c r="B40" s="107"/>
      <c r="I40" s="167"/>
      <c r="L40" s="107"/>
    </row>
    <row r="41" spans="2:12" ht="14.45" customHeight="1">
      <c r="B41" s="95"/>
      <c r="L41" s="95"/>
    </row>
    <row r="42" spans="2:12" ht="14.45" customHeight="1">
      <c r="B42" s="95"/>
      <c r="L42" s="95"/>
    </row>
    <row r="43" spans="2:12" ht="14.45" customHeight="1">
      <c r="B43" s="95"/>
      <c r="L43" s="95"/>
    </row>
    <row r="44" spans="2:12" ht="14.45" customHeight="1">
      <c r="B44" s="95"/>
      <c r="L44" s="95"/>
    </row>
    <row r="45" spans="2:12" ht="14.45" customHeight="1">
      <c r="B45" s="95"/>
      <c r="L45" s="95"/>
    </row>
    <row r="46" spans="2:12" ht="14.45" customHeight="1">
      <c r="B46" s="95"/>
      <c r="L46" s="95"/>
    </row>
    <row r="47" spans="2:12" ht="14.45" customHeight="1">
      <c r="B47" s="95"/>
      <c r="L47" s="95"/>
    </row>
    <row r="48" spans="2:12" ht="14.45" customHeight="1">
      <c r="B48" s="95"/>
      <c r="L48" s="95"/>
    </row>
    <row r="49" spans="2:12" ht="14.45" customHeight="1">
      <c r="B49" s="95"/>
      <c r="L49" s="95"/>
    </row>
    <row r="50" spans="2:12" s="106" customFormat="1" ht="14.45" customHeight="1">
      <c r="B50" s="107"/>
      <c r="D50" s="116" t="s">
        <v>736</v>
      </c>
      <c r="E50" s="117"/>
      <c r="F50" s="117"/>
      <c r="G50" s="116" t="s">
        <v>737</v>
      </c>
      <c r="H50" s="117"/>
      <c r="I50" s="188"/>
      <c r="J50" s="117"/>
      <c r="K50" s="117"/>
      <c r="L50" s="107"/>
    </row>
    <row r="51" spans="2:12">
      <c r="B51" s="95"/>
      <c r="L51" s="95"/>
    </row>
    <row r="52" spans="2:12">
      <c r="B52" s="95"/>
      <c r="L52" s="95"/>
    </row>
    <row r="53" spans="2:12">
      <c r="B53" s="95"/>
      <c r="L53" s="95"/>
    </row>
    <row r="54" spans="2:12">
      <c r="B54" s="95"/>
      <c r="L54" s="95"/>
    </row>
    <row r="55" spans="2:12">
      <c r="B55" s="95"/>
      <c r="L55" s="95"/>
    </row>
    <row r="56" spans="2:12">
      <c r="B56" s="95"/>
      <c r="L56" s="95"/>
    </row>
    <row r="57" spans="2:12">
      <c r="B57" s="95"/>
      <c r="L57" s="95"/>
    </row>
    <row r="58" spans="2:12">
      <c r="B58" s="95"/>
      <c r="L58" s="95"/>
    </row>
    <row r="59" spans="2:12">
      <c r="B59" s="95"/>
      <c r="L59" s="95"/>
    </row>
    <row r="60" spans="2:12">
      <c r="B60" s="95"/>
      <c r="L60" s="95"/>
    </row>
    <row r="61" spans="2:12" s="106" customFormat="1" ht="12.75">
      <c r="B61" s="107"/>
      <c r="D61" s="118" t="s">
        <v>738</v>
      </c>
      <c r="E61" s="109"/>
      <c r="F61" s="189" t="s">
        <v>739</v>
      </c>
      <c r="G61" s="118" t="s">
        <v>738</v>
      </c>
      <c r="H61" s="109"/>
      <c r="I61" s="190"/>
      <c r="J61" s="191" t="s">
        <v>739</v>
      </c>
      <c r="K61" s="109"/>
      <c r="L61" s="107"/>
    </row>
    <row r="62" spans="2:12">
      <c r="B62" s="95"/>
      <c r="L62" s="95"/>
    </row>
    <row r="63" spans="2:12">
      <c r="B63" s="95"/>
      <c r="L63" s="95"/>
    </row>
    <row r="64" spans="2:12">
      <c r="B64" s="95"/>
      <c r="L64" s="95"/>
    </row>
    <row r="65" spans="2:12" s="106" customFormat="1" ht="12.75">
      <c r="B65" s="107"/>
      <c r="D65" s="116" t="s">
        <v>740</v>
      </c>
      <c r="E65" s="117"/>
      <c r="F65" s="117"/>
      <c r="G65" s="116" t="s">
        <v>741</v>
      </c>
      <c r="H65" s="117"/>
      <c r="I65" s="188"/>
      <c r="J65" s="117"/>
      <c r="K65" s="117"/>
      <c r="L65" s="107"/>
    </row>
    <row r="66" spans="2:12">
      <c r="B66" s="95"/>
      <c r="L66" s="95"/>
    </row>
    <row r="67" spans="2:12">
      <c r="B67" s="95"/>
      <c r="L67" s="95"/>
    </row>
    <row r="68" spans="2:12">
      <c r="B68" s="95"/>
      <c r="L68" s="95"/>
    </row>
    <row r="69" spans="2:12">
      <c r="B69" s="95"/>
      <c r="L69" s="95"/>
    </row>
    <row r="70" spans="2:12">
      <c r="B70" s="95"/>
      <c r="L70" s="95"/>
    </row>
    <row r="71" spans="2:12">
      <c r="B71" s="95"/>
      <c r="L71" s="95"/>
    </row>
    <row r="72" spans="2:12">
      <c r="B72" s="95"/>
      <c r="L72" s="95"/>
    </row>
    <row r="73" spans="2:12">
      <c r="B73" s="95"/>
      <c r="L73" s="95"/>
    </row>
    <row r="74" spans="2:12">
      <c r="B74" s="95"/>
      <c r="L74" s="95"/>
    </row>
    <row r="75" spans="2:12">
      <c r="B75" s="95"/>
      <c r="L75" s="95"/>
    </row>
    <row r="76" spans="2:12" s="106" customFormat="1" ht="12.75">
      <c r="B76" s="107"/>
      <c r="D76" s="118" t="s">
        <v>738</v>
      </c>
      <c r="E76" s="109"/>
      <c r="F76" s="189" t="s">
        <v>739</v>
      </c>
      <c r="G76" s="118" t="s">
        <v>738</v>
      </c>
      <c r="H76" s="109"/>
      <c r="I76" s="190"/>
      <c r="J76" s="191" t="s">
        <v>739</v>
      </c>
      <c r="K76" s="109"/>
      <c r="L76" s="107"/>
    </row>
    <row r="77" spans="2:12" s="106" customFormat="1" ht="14.45" customHeight="1">
      <c r="B77" s="119"/>
      <c r="C77" s="120"/>
      <c r="D77" s="120"/>
      <c r="E77" s="120"/>
      <c r="F77" s="120"/>
      <c r="G77" s="120"/>
      <c r="H77" s="120"/>
      <c r="I77" s="192"/>
      <c r="J77" s="120"/>
      <c r="K77" s="120"/>
      <c r="L77" s="107"/>
    </row>
    <row r="81" spans="2:47" s="106" customFormat="1" ht="6.95" customHeight="1">
      <c r="B81" s="121"/>
      <c r="C81" s="122"/>
      <c r="D81" s="122"/>
      <c r="E81" s="122"/>
      <c r="F81" s="122"/>
      <c r="G81" s="122"/>
      <c r="H81" s="122"/>
      <c r="I81" s="193"/>
      <c r="J81" s="122"/>
      <c r="K81" s="122"/>
      <c r="L81" s="107"/>
    </row>
    <row r="82" spans="2:47" s="106" customFormat="1" ht="24.95" customHeight="1">
      <c r="B82" s="107"/>
      <c r="C82" s="96" t="s">
        <v>779</v>
      </c>
      <c r="I82" s="167"/>
      <c r="L82" s="107"/>
    </row>
    <row r="83" spans="2:47" s="106" customFormat="1" ht="6.95" customHeight="1">
      <c r="B83" s="107"/>
      <c r="I83" s="167"/>
      <c r="L83" s="107"/>
    </row>
    <row r="84" spans="2:47" s="106" customFormat="1" ht="12" customHeight="1">
      <c r="B84" s="107"/>
      <c r="C84" s="101" t="s">
        <v>700</v>
      </c>
      <c r="I84" s="167"/>
      <c r="L84" s="107"/>
    </row>
    <row r="85" spans="2:47" s="106" customFormat="1" ht="16.5" customHeight="1">
      <c r="B85" s="107"/>
      <c r="E85" s="337" t="str">
        <f>E7</f>
        <v>Lávka přes Labe v Nymburce - terénní a vegetační úpravy</v>
      </c>
      <c r="F85" s="338"/>
      <c r="G85" s="338"/>
      <c r="H85" s="338"/>
      <c r="I85" s="167"/>
      <c r="L85" s="107"/>
    </row>
    <row r="86" spans="2:47" s="106" customFormat="1" ht="12" customHeight="1">
      <c r="B86" s="107"/>
      <c r="C86" s="101" t="s">
        <v>777</v>
      </c>
      <c r="I86" s="167"/>
      <c r="L86" s="107"/>
    </row>
    <row r="87" spans="2:47" s="106" customFormat="1" ht="16.5" customHeight="1">
      <c r="B87" s="107"/>
      <c r="E87" s="315" t="str">
        <f>E9</f>
        <v>SO 801.2.2 - Rozvojová péče na vegetaci</v>
      </c>
      <c r="F87" s="336"/>
      <c r="G87" s="336"/>
      <c r="H87" s="336"/>
      <c r="I87" s="167"/>
      <c r="L87" s="107"/>
    </row>
    <row r="88" spans="2:47" s="106" customFormat="1" ht="6.95" customHeight="1">
      <c r="B88" s="107"/>
      <c r="I88" s="167"/>
      <c r="L88" s="107"/>
    </row>
    <row r="89" spans="2:47" s="106" customFormat="1" ht="12" customHeight="1">
      <c r="B89" s="107"/>
      <c r="C89" s="101" t="s">
        <v>704</v>
      </c>
      <c r="F89" s="102" t="str">
        <f>F12</f>
        <v xml:space="preserve">Lávka </v>
      </c>
      <c r="I89" s="168" t="s">
        <v>706</v>
      </c>
      <c r="J89" s="169" t="str">
        <f>IF(J12="","",J12)</f>
        <v>21. 11. 2019</v>
      </c>
      <c r="L89" s="107"/>
    </row>
    <row r="90" spans="2:47" s="106" customFormat="1" ht="6.95" customHeight="1">
      <c r="B90" s="107"/>
      <c r="I90" s="167"/>
      <c r="L90" s="107"/>
    </row>
    <row r="91" spans="2:47" s="106" customFormat="1" ht="25.7" customHeight="1">
      <c r="B91" s="107"/>
      <c r="C91" s="101" t="s">
        <v>708</v>
      </c>
      <c r="F91" s="102" t="str">
        <f>E15</f>
        <v>Město Nymburk</v>
      </c>
      <c r="I91" s="168" t="s">
        <v>716</v>
      </c>
      <c r="J91" s="194" t="str">
        <f>E21</f>
        <v>Ing. Gabriela Mlatečková Čížková</v>
      </c>
      <c r="L91" s="107"/>
    </row>
    <row r="92" spans="2:47" s="106" customFormat="1" ht="25.7" customHeight="1">
      <c r="B92" s="107"/>
      <c r="C92" s="101" t="s">
        <v>714</v>
      </c>
      <c r="F92" s="102" t="str">
        <f>IF(E18="","",E18)</f>
        <v>Vyplň údaj</v>
      </c>
      <c r="I92" s="168" t="s">
        <v>721</v>
      </c>
      <c r="J92" s="194" t="str">
        <f>E24</f>
        <v>Ing. Gabriela Mlatečková Čížková</v>
      </c>
      <c r="L92" s="107"/>
    </row>
    <row r="93" spans="2:47" s="106" customFormat="1" ht="10.35" customHeight="1">
      <c r="B93" s="107"/>
      <c r="I93" s="167"/>
      <c r="L93" s="107"/>
    </row>
    <row r="94" spans="2:47" s="106" customFormat="1" ht="29.25" customHeight="1">
      <c r="B94" s="107"/>
      <c r="C94" s="195" t="s">
        <v>780</v>
      </c>
      <c r="D94" s="181"/>
      <c r="E94" s="181"/>
      <c r="F94" s="181"/>
      <c r="G94" s="181"/>
      <c r="H94" s="181"/>
      <c r="I94" s="196"/>
      <c r="J94" s="197" t="s">
        <v>781</v>
      </c>
      <c r="K94" s="181"/>
      <c r="L94" s="107"/>
    </row>
    <row r="95" spans="2:47" s="106" customFormat="1" ht="10.35" customHeight="1">
      <c r="B95" s="107"/>
      <c r="I95" s="167"/>
      <c r="L95" s="107"/>
    </row>
    <row r="96" spans="2:47" s="106" customFormat="1" ht="22.9" customHeight="1">
      <c r="B96" s="107"/>
      <c r="C96" s="198" t="s">
        <v>782</v>
      </c>
      <c r="I96" s="167"/>
      <c r="J96" s="175">
        <f>J125</f>
        <v>0</v>
      </c>
      <c r="L96" s="107"/>
      <c r="AU96" s="92" t="s">
        <v>783</v>
      </c>
    </row>
    <row r="97" spans="2:12" s="199" customFormat="1" ht="24.95" customHeight="1">
      <c r="B97" s="200"/>
      <c r="D97" s="201" t="s">
        <v>1138</v>
      </c>
      <c r="E97" s="202"/>
      <c r="F97" s="202"/>
      <c r="G97" s="202"/>
      <c r="H97" s="202"/>
      <c r="I97" s="203"/>
      <c r="J97" s="204">
        <f>J126</f>
        <v>0</v>
      </c>
      <c r="L97" s="200"/>
    </row>
    <row r="98" spans="2:12" s="205" customFormat="1" ht="19.899999999999999" customHeight="1">
      <c r="B98" s="206"/>
      <c r="D98" s="207" t="s">
        <v>1139</v>
      </c>
      <c r="E98" s="208"/>
      <c r="F98" s="208"/>
      <c r="G98" s="208"/>
      <c r="H98" s="208"/>
      <c r="I98" s="209"/>
      <c r="J98" s="210">
        <f>J127</f>
        <v>0</v>
      </c>
      <c r="L98" s="206"/>
    </row>
    <row r="99" spans="2:12" s="205" customFormat="1" ht="19.899999999999999" customHeight="1">
      <c r="B99" s="206"/>
      <c r="D99" s="207" t="s">
        <v>1140</v>
      </c>
      <c r="E99" s="208"/>
      <c r="F99" s="208"/>
      <c r="G99" s="208"/>
      <c r="H99" s="208"/>
      <c r="I99" s="209"/>
      <c r="J99" s="210">
        <f>J133</f>
        <v>0</v>
      </c>
      <c r="L99" s="206"/>
    </row>
    <row r="100" spans="2:12" s="205" customFormat="1" ht="19.899999999999999" customHeight="1">
      <c r="B100" s="206"/>
      <c r="D100" s="207" t="s">
        <v>1141</v>
      </c>
      <c r="E100" s="208"/>
      <c r="F100" s="208"/>
      <c r="G100" s="208"/>
      <c r="H100" s="208"/>
      <c r="I100" s="209"/>
      <c r="J100" s="210">
        <f>J136</f>
        <v>0</v>
      </c>
      <c r="L100" s="206"/>
    </row>
    <row r="101" spans="2:12" s="205" customFormat="1" ht="19.899999999999999" customHeight="1">
      <c r="B101" s="206"/>
      <c r="D101" s="207" t="s">
        <v>1142</v>
      </c>
      <c r="E101" s="208"/>
      <c r="F101" s="208"/>
      <c r="G101" s="208"/>
      <c r="H101" s="208"/>
      <c r="I101" s="209"/>
      <c r="J101" s="210">
        <f>J158</f>
        <v>0</v>
      </c>
      <c r="L101" s="206"/>
    </row>
    <row r="102" spans="2:12" s="199" customFormat="1" ht="24.95" customHeight="1">
      <c r="B102" s="200"/>
      <c r="D102" s="201" t="s">
        <v>1143</v>
      </c>
      <c r="E102" s="202"/>
      <c r="F102" s="202"/>
      <c r="G102" s="202"/>
      <c r="H102" s="202"/>
      <c r="I102" s="203"/>
      <c r="J102" s="204">
        <f>J178</f>
        <v>0</v>
      </c>
      <c r="L102" s="200"/>
    </row>
    <row r="103" spans="2:12" s="199" customFormat="1" ht="24.95" customHeight="1">
      <c r="B103" s="200"/>
      <c r="D103" s="201" t="s">
        <v>1144</v>
      </c>
      <c r="E103" s="202"/>
      <c r="F103" s="202"/>
      <c r="G103" s="202"/>
      <c r="H103" s="202"/>
      <c r="I103" s="203"/>
      <c r="J103" s="204">
        <f>J226</f>
        <v>0</v>
      </c>
      <c r="L103" s="200"/>
    </row>
    <row r="104" spans="2:12" s="199" customFormat="1" ht="24.95" customHeight="1">
      <c r="B104" s="200"/>
      <c r="D104" s="201" t="s">
        <v>786</v>
      </c>
      <c r="E104" s="202"/>
      <c r="F104" s="202"/>
      <c r="G104" s="202"/>
      <c r="H104" s="202"/>
      <c r="I104" s="203"/>
      <c r="J104" s="204">
        <f>J273</f>
        <v>0</v>
      </c>
      <c r="L104" s="200"/>
    </row>
    <row r="105" spans="2:12" s="205" customFormat="1" ht="19.899999999999999" customHeight="1">
      <c r="B105" s="206"/>
      <c r="D105" s="207" t="s">
        <v>787</v>
      </c>
      <c r="E105" s="208"/>
      <c r="F105" s="208"/>
      <c r="G105" s="208"/>
      <c r="H105" s="208"/>
      <c r="I105" s="209"/>
      <c r="J105" s="210">
        <f>J274</f>
        <v>0</v>
      </c>
      <c r="L105" s="206"/>
    </row>
    <row r="106" spans="2:12" s="106" customFormat="1" ht="21.75" customHeight="1">
      <c r="B106" s="107"/>
      <c r="I106" s="167"/>
      <c r="L106" s="107"/>
    </row>
    <row r="107" spans="2:12" s="106" customFormat="1" ht="6.95" customHeight="1">
      <c r="B107" s="119"/>
      <c r="C107" s="120"/>
      <c r="D107" s="120"/>
      <c r="E107" s="120"/>
      <c r="F107" s="120"/>
      <c r="G107" s="120"/>
      <c r="H107" s="120"/>
      <c r="I107" s="192"/>
      <c r="J107" s="120"/>
      <c r="K107" s="120"/>
      <c r="L107" s="107"/>
    </row>
    <row r="111" spans="2:12" s="106" customFormat="1" ht="6.95" customHeight="1">
      <c r="B111" s="121"/>
      <c r="C111" s="122"/>
      <c r="D111" s="122"/>
      <c r="E111" s="122"/>
      <c r="F111" s="122"/>
      <c r="G111" s="122"/>
      <c r="H111" s="122"/>
      <c r="I111" s="193"/>
      <c r="J111" s="122"/>
      <c r="K111" s="122"/>
      <c r="L111" s="107"/>
    </row>
    <row r="112" spans="2:12" s="106" customFormat="1" ht="24.95" customHeight="1">
      <c r="B112" s="107"/>
      <c r="C112" s="96" t="s">
        <v>1</v>
      </c>
      <c r="I112" s="167"/>
      <c r="L112" s="107"/>
    </row>
    <row r="113" spans="2:65" s="106" customFormat="1" ht="6.95" customHeight="1">
      <c r="B113" s="107"/>
      <c r="I113" s="167"/>
      <c r="L113" s="107"/>
    </row>
    <row r="114" spans="2:65" s="106" customFormat="1" ht="12" customHeight="1">
      <c r="B114" s="107"/>
      <c r="C114" s="101" t="s">
        <v>700</v>
      </c>
      <c r="I114" s="167"/>
      <c r="L114" s="107"/>
    </row>
    <row r="115" spans="2:65" s="106" customFormat="1" ht="16.5" customHeight="1">
      <c r="B115" s="107"/>
      <c r="E115" s="337" t="str">
        <f>E7</f>
        <v>Lávka přes Labe v Nymburce - terénní a vegetační úpravy</v>
      </c>
      <c r="F115" s="338"/>
      <c r="G115" s="338"/>
      <c r="H115" s="338"/>
      <c r="I115" s="167"/>
      <c r="L115" s="107"/>
    </row>
    <row r="116" spans="2:65" s="106" customFormat="1" ht="12" customHeight="1">
      <c r="B116" s="107"/>
      <c r="C116" s="101" t="s">
        <v>777</v>
      </c>
      <c r="I116" s="167"/>
      <c r="L116" s="107"/>
    </row>
    <row r="117" spans="2:65" s="106" customFormat="1" ht="16.5" customHeight="1">
      <c r="B117" s="107"/>
      <c r="E117" s="315" t="str">
        <f>E9</f>
        <v>SO 801.2.2 - Rozvojová péče na vegetaci</v>
      </c>
      <c r="F117" s="336"/>
      <c r="G117" s="336"/>
      <c r="H117" s="336"/>
      <c r="I117" s="167"/>
      <c r="L117" s="107"/>
    </row>
    <row r="118" spans="2:65" s="106" customFormat="1" ht="6.95" customHeight="1">
      <c r="B118" s="107"/>
      <c r="I118" s="167"/>
      <c r="L118" s="107"/>
    </row>
    <row r="119" spans="2:65" s="106" customFormat="1" ht="12" customHeight="1">
      <c r="B119" s="107"/>
      <c r="C119" s="101" t="s">
        <v>704</v>
      </c>
      <c r="F119" s="102" t="str">
        <f>F12</f>
        <v xml:space="preserve">Lávka </v>
      </c>
      <c r="I119" s="168" t="s">
        <v>706</v>
      </c>
      <c r="J119" s="169" t="str">
        <f>IF(J12="","",J12)</f>
        <v>21. 11. 2019</v>
      </c>
      <c r="L119" s="107"/>
    </row>
    <row r="120" spans="2:65" s="106" customFormat="1" ht="6.95" customHeight="1">
      <c r="B120" s="107"/>
      <c r="I120" s="167"/>
      <c r="L120" s="107"/>
    </row>
    <row r="121" spans="2:65" s="106" customFormat="1" ht="25.7" customHeight="1">
      <c r="B121" s="107"/>
      <c r="C121" s="101" t="s">
        <v>708</v>
      </c>
      <c r="F121" s="102" t="str">
        <f>E15</f>
        <v>Město Nymburk</v>
      </c>
      <c r="I121" s="168" t="s">
        <v>716</v>
      </c>
      <c r="J121" s="194" t="str">
        <f>E21</f>
        <v>Ing. Gabriela Mlatečková Čížková</v>
      </c>
      <c r="L121" s="107"/>
    </row>
    <row r="122" spans="2:65" s="106" customFormat="1" ht="25.7" customHeight="1">
      <c r="B122" s="107"/>
      <c r="C122" s="101" t="s">
        <v>714</v>
      </c>
      <c r="F122" s="102" t="str">
        <f>IF(E18="","",E18)</f>
        <v>Vyplň údaj</v>
      </c>
      <c r="I122" s="168" t="s">
        <v>721</v>
      </c>
      <c r="J122" s="194" t="str">
        <f>E24</f>
        <v>Ing. Gabriela Mlatečková Čížková</v>
      </c>
      <c r="L122" s="107"/>
    </row>
    <row r="123" spans="2:65" s="106" customFormat="1" ht="10.35" customHeight="1">
      <c r="B123" s="107"/>
      <c r="I123" s="167"/>
      <c r="L123" s="107"/>
    </row>
    <row r="124" spans="2:65" s="211" customFormat="1" ht="29.25" customHeight="1">
      <c r="B124" s="212"/>
      <c r="C124" s="213" t="s">
        <v>788</v>
      </c>
      <c r="D124" s="214" t="s">
        <v>746</v>
      </c>
      <c r="E124" s="214" t="s">
        <v>11</v>
      </c>
      <c r="F124" s="214" t="s">
        <v>502</v>
      </c>
      <c r="G124" s="214" t="s">
        <v>18</v>
      </c>
      <c r="H124" s="214" t="s">
        <v>537</v>
      </c>
      <c r="I124" s="215" t="s">
        <v>789</v>
      </c>
      <c r="J124" s="214" t="s">
        <v>781</v>
      </c>
      <c r="K124" s="216" t="s">
        <v>790</v>
      </c>
      <c r="L124" s="212"/>
      <c r="M124" s="134" t="s">
        <v>25</v>
      </c>
      <c r="N124" s="135" t="s">
        <v>727</v>
      </c>
      <c r="O124" s="135" t="s">
        <v>791</v>
      </c>
      <c r="P124" s="135" t="s">
        <v>792</v>
      </c>
      <c r="Q124" s="135" t="s">
        <v>793</v>
      </c>
      <c r="R124" s="135" t="s">
        <v>794</v>
      </c>
      <c r="S124" s="135" t="s">
        <v>795</v>
      </c>
      <c r="T124" s="136" t="s">
        <v>796</v>
      </c>
    </row>
    <row r="125" spans="2:65" s="106" customFormat="1" ht="22.9" customHeight="1">
      <c r="B125" s="107"/>
      <c r="C125" s="140" t="s">
        <v>797</v>
      </c>
      <c r="I125" s="167"/>
      <c r="J125" s="217">
        <f>BK125</f>
        <v>0</v>
      </c>
      <c r="L125" s="107"/>
      <c r="M125" s="137"/>
      <c r="N125" s="129"/>
      <c r="O125" s="129"/>
      <c r="P125" s="218">
        <f>P126+P178+P226+P273</f>
        <v>0</v>
      </c>
      <c r="Q125" s="129"/>
      <c r="R125" s="218">
        <f>R126+R178+R226+R273</f>
        <v>6.0000000000000008E-5</v>
      </c>
      <c r="S125" s="129"/>
      <c r="T125" s="219">
        <f>T126+T178+T226+T273</f>
        <v>0</v>
      </c>
      <c r="AT125" s="92" t="s">
        <v>549</v>
      </c>
      <c r="AU125" s="92" t="s">
        <v>783</v>
      </c>
      <c r="BK125" s="220">
        <f>BK126+BK178+BK226+BK273</f>
        <v>0</v>
      </c>
    </row>
    <row r="126" spans="2:65" s="221" customFormat="1" ht="25.9" customHeight="1">
      <c r="B126" s="222"/>
      <c r="D126" s="223" t="s">
        <v>549</v>
      </c>
      <c r="E126" s="224" t="s">
        <v>1145</v>
      </c>
      <c r="F126" s="224" t="s">
        <v>1146</v>
      </c>
      <c r="I126" s="225"/>
      <c r="J126" s="226">
        <f>BK126</f>
        <v>0</v>
      </c>
      <c r="L126" s="222"/>
      <c r="M126" s="227"/>
      <c r="P126" s="228">
        <f>P127+P133+P136+P158</f>
        <v>0</v>
      </c>
      <c r="R126" s="228">
        <f>R127+R133+R136+R158</f>
        <v>3.0000000000000004E-5</v>
      </c>
      <c r="T126" s="229">
        <f>T127+T133+T136+T158</f>
        <v>0</v>
      </c>
      <c r="AR126" s="223" t="s">
        <v>767</v>
      </c>
      <c r="AT126" s="230" t="s">
        <v>549</v>
      </c>
      <c r="AU126" s="230" t="s">
        <v>760</v>
      </c>
      <c r="AY126" s="223" t="s">
        <v>800</v>
      </c>
      <c r="BK126" s="231">
        <f>BK127+BK133+BK136+BK158</f>
        <v>0</v>
      </c>
    </row>
    <row r="127" spans="2:65" s="221" customFormat="1" ht="22.9" customHeight="1">
      <c r="B127" s="222"/>
      <c r="D127" s="223" t="s">
        <v>549</v>
      </c>
      <c r="E127" s="232" t="s">
        <v>1147</v>
      </c>
      <c r="F127" s="232" t="s">
        <v>1148</v>
      </c>
      <c r="I127" s="225"/>
      <c r="J127" s="233">
        <f>BK127</f>
        <v>0</v>
      </c>
      <c r="L127" s="222"/>
      <c r="M127" s="227"/>
      <c r="P127" s="228">
        <f>SUM(P128:P132)</f>
        <v>0</v>
      </c>
      <c r="R127" s="228">
        <f>SUM(R128:R132)</f>
        <v>3.0000000000000004E-5</v>
      </c>
      <c r="T127" s="229">
        <f>SUM(T128:T132)</f>
        <v>0</v>
      </c>
      <c r="AR127" s="223" t="s">
        <v>767</v>
      </c>
      <c r="AT127" s="230" t="s">
        <v>549</v>
      </c>
      <c r="AU127" s="230" t="s">
        <v>767</v>
      </c>
      <c r="AY127" s="223" t="s">
        <v>800</v>
      </c>
      <c r="BK127" s="231">
        <f>SUM(BK128:BK132)</f>
        <v>0</v>
      </c>
    </row>
    <row r="128" spans="2:65" s="106" customFormat="1" ht="16.5" customHeight="1">
      <c r="B128" s="107"/>
      <c r="C128" s="234" t="s">
        <v>767</v>
      </c>
      <c r="D128" s="234" t="s">
        <v>556</v>
      </c>
      <c r="E128" s="235" t="s">
        <v>1149</v>
      </c>
      <c r="F128" s="236" t="s">
        <v>1150</v>
      </c>
      <c r="G128" s="237" t="s">
        <v>559</v>
      </c>
      <c r="H128" s="238">
        <v>1.5</v>
      </c>
      <c r="I128" s="239"/>
      <c r="J128" s="240">
        <f>ROUND(I128*H128,2)</f>
        <v>0</v>
      </c>
      <c r="K128" s="236" t="s">
        <v>25</v>
      </c>
      <c r="L128" s="107"/>
      <c r="M128" s="241" t="s">
        <v>25</v>
      </c>
      <c r="N128" s="242" t="s">
        <v>728</v>
      </c>
      <c r="P128" s="243">
        <f>O128*H128</f>
        <v>0</v>
      </c>
      <c r="Q128" s="243">
        <v>2.0000000000000002E-5</v>
      </c>
      <c r="R128" s="243">
        <f>Q128*H128</f>
        <v>3.0000000000000004E-5</v>
      </c>
      <c r="S128" s="243">
        <v>0</v>
      </c>
      <c r="T128" s="244">
        <f>S128*H128</f>
        <v>0</v>
      </c>
      <c r="AR128" s="245" t="s">
        <v>806</v>
      </c>
      <c r="AT128" s="245" t="s">
        <v>556</v>
      </c>
      <c r="AU128" s="245" t="s">
        <v>769</v>
      </c>
      <c r="AY128" s="92" t="s">
        <v>800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92" t="s">
        <v>767</v>
      </c>
      <c r="BK128" s="246">
        <f>ROUND(I128*H128,2)</f>
        <v>0</v>
      </c>
      <c r="BL128" s="92" t="s">
        <v>806</v>
      </c>
      <c r="BM128" s="245" t="s">
        <v>1151</v>
      </c>
    </row>
    <row r="129" spans="2:65" s="106" customFormat="1">
      <c r="B129" s="107"/>
      <c r="D129" s="247" t="s">
        <v>808</v>
      </c>
      <c r="F129" s="248" t="s">
        <v>1152</v>
      </c>
      <c r="I129" s="167"/>
      <c r="L129" s="107"/>
      <c r="M129" s="249"/>
      <c r="T129" s="131"/>
      <c r="AT129" s="92" t="s">
        <v>808</v>
      </c>
      <c r="AU129" s="92" t="s">
        <v>769</v>
      </c>
    </row>
    <row r="130" spans="2:65" s="260" customFormat="1">
      <c r="B130" s="261"/>
      <c r="D130" s="247" t="s">
        <v>815</v>
      </c>
      <c r="E130" s="262" t="s">
        <v>25</v>
      </c>
      <c r="F130" s="263" t="s">
        <v>1153</v>
      </c>
      <c r="H130" s="264">
        <v>1.5</v>
      </c>
      <c r="I130" s="265"/>
      <c r="L130" s="261"/>
      <c r="M130" s="266"/>
      <c r="T130" s="267"/>
      <c r="AT130" s="262" t="s">
        <v>815</v>
      </c>
      <c r="AU130" s="262" t="s">
        <v>769</v>
      </c>
      <c r="AV130" s="260" t="s">
        <v>769</v>
      </c>
      <c r="AW130" s="260" t="s">
        <v>720</v>
      </c>
      <c r="AX130" s="260" t="s">
        <v>767</v>
      </c>
      <c r="AY130" s="262" t="s">
        <v>800</v>
      </c>
    </row>
    <row r="131" spans="2:65" s="106" customFormat="1" ht="16.5" customHeight="1">
      <c r="B131" s="107"/>
      <c r="C131" s="234" t="s">
        <v>769</v>
      </c>
      <c r="D131" s="234" t="s">
        <v>556</v>
      </c>
      <c r="E131" s="235" t="s">
        <v>1154</v>
      </c>
      <c r="F131" s="236" t="s">
        <v>1155</v>
      </c>
      <c r="G131" s="237" t="s">
        <v>559</v>
      </c>
      <c r="H131" s="238">
        <v>3</v>
      </c>
      <c r="I131" s="239"/>
      <c r="J131" s="240">
        <f>ROUND(I131*H131,2)</f>
        <v>0</v>
      </c>
      <c r="K131" s="236" t="s">
        <v>25</v>
      </c>
      <c r="L131" s="107"/>
      <c r="M131" s="241" t="s">
        <v>25</v>
      </c>
      <c r="N131" s="242" t="s">
        <v>728</v>
      </c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AR131" s="245" t="s">
        <v>806</v>
      </c>
      <c r="AT131" s="245" t="s">
        <v>556</v>
      </c>
      <c r="AU131" s="245" t="s">
        <v>769</v>
      </c>
      <c r="AY131" s="92" t="s">
        <v>800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92" t="s">
        <v>767</v>
      </c>
      <c r="BK131" s="246">
        <f>ROUND(I131*H131,2)</f>
        <v>0</v>
      </c>
      <c r="BL131" s="92" t="s">
        <v>806</v>
      </c>
      <c r="BM131" s="245" t="s">
        <v>1156</v>
      </c>
    </row>
    <row r="132" spans="2:65" s="106" customFormat="1">
      <c r="B132" s="107"/>
      <c r="D132" s="247" t="s">
        <v>808</v>
      </c>
      <c r="F132" s="248" t="s">
        <v>1155</v>
      </c>
      <c r="I132" s="167"/>
      <c r="L132" s="107"/>
      <c r="M132" s="249"/>
      <c r="T132" s="131"/>
      <c r="AT132" s="92" t="s">
        <v>808</v>
      </c>
      <c r="AU132" s="92" t="s">
        <v>769</v>
      </c>
    </row>
    <row r="133" spans="2:65" s="221" customFormat="1" ht="22.9" customHeight="1">
      <c r="B133" s="222"/>
      <c r="D133" s="223" t="s">
        <v>549</v>
      </c>
      <c r="E133" s="232" t="s">
        <v>1157</v>
      </c>
      <c r="F133" s="232" t="s">
        <v>1158</v>
      </c>
      <c r="I133" s="225"/>
      <c r="J133" s="233">
        <f>BK133</f>
        <v>0</v>
      </c>
      <c r="L133" s="222"/>
      <c r="M133" s="227"/>
      <c r="P133" s="228">
        <f>SUM(P134:P135)</f>
        <v>0</v>
      </c>
      <c r="R133" s="228">
        <f>SUM(R134:R135)</f>
        <v>0</v>
      </c>
      <c r="T133" s="229">
        <f>SUM(T134:T135)</f>
        <v>0</v>
      </c>
      <c r="AR133" s="223" t="s">
        <v>767</v>
      </c>
      <c r="AT133" s="230" t="s">
        <v>549</v>
      </c>
      <c r="AU133" s="230" t="s">
        <v>767</v>
      </c>
      <c r="AY133" s="223" t="s">
        <v>800</v>
      </c>
      <c r="BK133" s="231">
        <f>SUM(BK134:BK135)</f>
        <v>0</v>
      </c>
    </row>
    <row r="134" spans="2:65" s="106" customFormat="1" ht="16.5" customHeight="1">
      <c r="B134" s="107"/>
      <c r="C134" s="234" t="s">
        <v>806</v>
      </c>
      <c r="D134" s="234" t="s">
        <v>556</v>
      </c>
      <c r="E134" s="235" t="s">
        <v>1159</v>
      </c>
      <c r="F134" s="236" t="s">
        <v>1160</v>
      </c>
      <c r="G134" s="237" t="s">
        <v>901</v>
      </c>
      <c r="H134" s="238">
        <v>35</v>
      </c>
      <c r="I134" s="239"/>
      <c r="J134" s="240">
        <f>ROUND(I134*H134,2)</f>
        <v>0</v>
      </c>
      <c r="K134" s="236" t="s">
        <v>25</v>
      </c>
      <c r="L134" s="107"/>
      <c r="M134" s="241" t="s">
        <v>25</v>
      </c>
      <c r="N134" s="242" t="s">
        <v>728</v>
      </c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AR134" s="245" t="s">
        <v>806</v>
      </c>
      <c r="AT134" s="245" t="s">
        <v>556</v>
      </c>
      <c r="AU134" s="245" t="s">
        <v>769</v>
      </c>
      <c r="AY134" s="92" t="s">
        <v>800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92" t="s">
        <v>767</v>
      </c>
      <c r="BK134" s="246">
        <f>ROUND(I134*H134,2)</f>
        <v>0</v>
      </c>
      <c r="BL134" s="92" t="s">
        <v>806</v>
      </c>
      <c r="BM134" s="245" t="s">
        <v>1161</v>
      </c>
    </row>
    <row r="135" spans="2:65" s="106" customFormat="1">
      <c r="B135" s="107"/>
      <c r="D135" s="247" t="s">
        <v>808</v>
      </c>
      <c r="F135" s="248" t="s">
        <v>1162</v>
      </c>
      <c r="I135" s="167"/>
      <c r="L135" s="107"/>
      <c r="M135" s="249"/>
      <c r="T135" s="131"/>
      <c r="AT135" s="92" t="s">
        <v>808</v>
      </c>
      <c r="AU135" s="92" t="s">
        <v>769</v>
      </c>
    </row>
    <row r="136" spans="2:65" s="221" customFormat="1" ht="22.9" customHeight="1">
      <c r="B136" s="222"/>
      <c r="D136" s="223" t="s">
        <v>549</v>
      </c>
      <c r="E136" s="232" t="s">
        <v>1163</v>
      </c>
      <c r="F136" s="232" t="s">
        <v>1164</v>
      </c>
      <c r="I136" s="225"/>
      <c r="J136" s="233">
        <f>BK136</f>
        <v>0</v>
      </c>
      <c r="L136" s="222"/>
      <c r="M136" s="227"/>
      <c r="P136" s="228">
        <f>SUM(P137:P157)</f>
        <v>0</v>
      </c>
      <c r="R136" s="228">
        <f>SUM(R137:R157)</f>
        <v>0</v>
      </c>
      <c r="T136" s="229">
        <f>SUM(T137:T157)</f>
        <v>0</v>
      </c>
      <c r="AR136" s="223" t="s">
        <v>767</v>
      </c>
      <c r="AT136" s="230" t="s">
        <v>549</v>
      </c>
      <c r="AU136" s="230" t="s">
        <v>767</v>
      </c>
      <c r="AY136" s="223" t="s">
        <v>800</v>
      </c>
      <c r="BK136" s="231">
        <f>SUM(BK137:BK157)</f>
        <v>0</v>
      </c>
    </row>
    <row r="137" spans="2:65" s="106" customFormat="1" ht="21.75" customHeight="1">
      <c r="B137" s="107"/>
      <c r="C137" s="234" t="s">
        <v>802</v>
      </c>
      <c r="D137" s="234" t="s">
        <v>556</v>
      </c>
      <c r="E137" s="235" t="s">
        <v>1165</v>
      </c>
      <c r="F137" s="236" t="s">
        <v>1166</v>
      </c>
      <c r="G137" s="237" t="s">
        <v>617</v>
      </c>
      <c r="H137" s="238">
        <v>88.8</v>
      </c>
      <c r="I137" s="239"/>
      <c r="J137" s="240">
        <f>ROUND(I137*H137,2)</f>
        <v>0</v>
      </c>
      <c r="K137" s="236" t="s">
        <v>25</v>
      </c>
      <c r="L137" s="107"/>
      <c r="M137" s="241" t="s">
        <v>25</v>
      </c>
      <c r="N137" s="242" t="s">
        <v>728</v>
      </c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AR137" s="245" t="s">
        <v>806</v>
      </c>
      <c r="AT137" s="245" t="s">
        <v>556</v>
      </c>
      <c r="AU137" s="245" t="s">
        <v>769</v>
      </c>
      <c r="AY137" s="92" t="s">
        <v>800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92" t="s">
        <v>767</v>
      </c>
      <c r="BK137" s="246">
        <f>ROUND(I137*H137,2)</f>
        <v>0</v>
      </c>
      <c r="BL137" s="92" t="s">
        <v>806</v>
      </c>
      <c r="BM137" s="245" t="s">
        <v>1167</v>
      </c>
    </row>
    <row r="138" spans="2:65" s="106" customFormat="1">
      <c r="B138" s="107"/>
      <c r="D138" s="247" t="s">
        <v>808</v>
      </c>
      <c r="F138" s="248" t="s">
        <v>1168</v>
      </c>
      <c r="I138" s="167"/>
      <c r="L138" s="107"/>
      <c r="M138" s="249"/>
      <c r="T138" s="131"/>
      <c r="AT138" s="92" t="s">
        <v>808</v>
      </c>
      <c r="AU138" s="92" t="s">
        <v>769</v>
      </c>
    </row>
    <row r="139" spans="2:65" s="260" customFormat="1">
      <c r="B139" s="261"/>
      <c r="D139" s="247" t="s">
        <v>815</v>
      </c>
      <c r="E139" s="262" t="s">
        <v>25</v>
      </c>
      <c r="F139" s="263" t="s">
        <v>1169</v>
      </c>
      <c r="H139" s="264">
        <v>88.8</v>
      </c>
      <c r="I139" s="265"/>
      <c r="L139" s="261"/>
      <c r="M139" s="266"/>
      <c r="T139" s="267"/>
      <c r="AT139" s="262" t="s">
        <v>815</v>
      </c>
      <c r="AU139" s="262" t="s">
        <v>769</v>
      </c>
      <c r="AV139" s="260" t="s">
        <v>769</v>
      </c>
      <c r="AW139" s="260" t="s">
        <v>720</v>
      </c>
      <c r="AX139" s="260" t="s">
        <v>767</v>
      </c>
      <c r="AY139" s="262" t="s">
        <v>800</v>
      </c>
    </row>
    <row r="140" spans="2:65" s="106" customFormat="1" ht="21.75" customHeight="1">
      <c r="B140" s="107"/>
      <c r="C140" s="234" t="s">
        <v>1004</v>
      </c>
      <c r="D140" s="234" t="s">
        <v>556</v>
      </c>
      <c r="E140" s="235" t="s">
        <v>1165</v>
      </c>
      <c r="F140" s="236" t="s">
        <v>1166</v>
      </c>
      <c r="G140" s="237" t="s">
        <v>617</v>
      </c>
      <c r="H140" s="238">
        <v>88.8</v>
      </c>
      <c r="I140" s="239"/>
      <c r="J140" s="240">
        <f>ROUND(I140*H140,2)</f>
        <v>0</v>
      </c>
      <c r="K140" s="236" t="s">
        <v>25</v>
      </c>
      <c r="L140" s="107"/>
      <c r="M140" s="241" t="s">
        <v>25</v>
      </c>
      <c r="N140" s="242" t="s">
        <v>728</v>
      </c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AR140" s="245" t="s">
        <v>806</v>
      </c>
      <c r="AT140" s="245" t="s">
        <v>556</v>
      </c>
      <c r="AU140" s="245" t="s">
        <v>769</v>
      </c>
      <c r="AY140" s="92" t="s">
        <v>800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92" t="s">
        <v>767</v>
      </c>
      <c r="BK140" s="246">
        <f>ROUND(I140*H140,2)</f>
        <v>0</v>
      </c>
      <c r="BL140" s="92" t="s">
        <v>806</v>
      </c>
      <c r="BM140" s="245" t="s">
        <v>1170</v>
      </c>
    </row>
    <row r="141" spans="2:65" s="106" customFormat="1">
      <c r="B141" s="107"/>
      <c r="D141" s="247" t="s">
        <v>808</v>
      </c>
      <c r="F141" s="248" t="s">
        <v>1168</v>
      </c>
      <c r="I141" s="167"/>
      <c r="L141" s="107"/>
      <c r="M141" s="249"/>
      <c r="T141" s="131"/>
      <c r="AT141" s="92" t="s">
        <v>808</v>
      </c>
      <c r="AU141" s="92" t="s">
        <v>769</v>
      </c>
    </row>
    <row r="142" spans="2:65" s="260" customFormat="1">
      <c r="B142" s="261"/>
      <c r="D142" s="247" t="s">
        <v>815</v>
      </c>
      <c r="E142" s="262" t="s">
        <v>25</v>
      </c>
      <c r="F142" s="263" t="s">
        <v>1169</v>
      </c>
      <c r="H142" s="264">
        <v>88.8</v>
      </c>
      <c r="I142" s="265"/>
      <c r="L142" s="261"/>
      <c r="M142" s="266"/>
      <c r="T142" s="267"/>
      <c r="AT142" s="262" t="s">
        <v>815</v>
      </c>
      <c r="AU142" s="262" t="s">
        <v>769</v>
      </c>
      <c r="AV142" s="260" t="s">
        <v>769</v>
      </c>
      <c r="AW142" s="260" t="s">
        <v>720</v>
      </c>
      <c r="AX142" s="260" t="s">
        <v>767</v>
      </c>
      <c r="AY142" s="262" t="s">
        <v>800</v>
      </c>
    </row>
    <row r="143" spans="2:65" s="106" customFormat="1" ht="21.75" customHeight="1">
      <c r="B143" s="107"/>
      <c r="C143" s="234" t="s">
        <v>1008</v>
      </c>
      <c r="D143" s="234" t="s">
        <v>556</v>
      </c>
      <c r="E143" s="235" t="s">
        <v>1165</v>
      </c>
      <c r="F143" s="236" t="s">
        <v>1166</v>
      </c>
      <c r="G143" s="237" t="s">
        <v>617</v>
      </c>
      <c r="H143" s="238">
        <v>88.8</v>
      </c>
      <c r="I143" s="239"/>
      <c r="J143" s="240">
        <f>ROUND(I143*H143,2)</f>
        <v>0</v>
      </c>
      <c r="K143" s="236" t="s">
        <v>25</v>
      </c>
      <c r="L143" s="107"/>
      <c r="M143" s="241" t="s">
        <v>25</v>
      </c>
      <c r="N143" s="242" t="s">
        <v>728</v>
      </c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AR143" s="245" t="s">
        <v>806</v>
      </c>
      <c r="AT143" s="245" t="s">
        <v>556</v>
      </c>
      <c r="AU143" s="245" t="s">
        <v>769</v>
      </c>
      <c r="AY143" s="92" t="s">
        <v>800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92" t="s">
        <v>767</v>
      </c>
      <c r="BK143" s="246">
        <f>ROUND(I143*H143,2)</f>
        <v>0</v>
      </c>
      <c r="BL143" s="92" t="s">
        <v>806</v>
      </c>
      <c r="BM143" s="245" t="s">
        <v>1171</v>
      </c>
    </row>
    <row r="144" spans="2:65" s="106" customFormat="1">
      <c r="B144" s="107"/>
      <c r="D144" s="247" t="s">
        <v>808</v>
      </c>
      <c r="F144" s="248" t="s">
        <v>1168</v>
      </c>
      <c r="I144" s="167"/>
      <c r="L144" s="107"/>
      <c r="M144" s="249"/>
      <c r="T144" s="131"/>
      <c r="AT144" s="92" t="s">
        <v>808</v>
      </c>
      <c r="AU144" s="92" t="s">
        <v>769</v>
      </c>
    </row>
    <row r="145" spans="2:65" s="260" customFormat="1">
      <c r="B145" s="261"/>
      <c r="D145" s="247" t="s">
        <v>815</v>
      </c>
      <c r="E145" s="262" t="s">
        <v>25</v>
      </c>
      <c r="F145" s="263" t="s">
        <v>1169</v>
      </c>
      <c r="H145" s="264">
        <v>88.8</v>
      </c>
      <c r="I145" s="265"/>
      <c r="L145" s="261"/>
      <c r="M145" s="266"/>
      <c r="T145" s="267"/>
      <c r="AT145" s="262" t="s">
        <v>815</v>
      </c>
      <c r="AU145" s="262" t="s">
        <v>769</v>
      </c>
      <c r="AV145" s="260" t="s">
        <v>769</v>
      </c>
      <c r="AW145" s="260" t="s">
        <v>720</v>
      </c>
      <c r="AX145" s="260" t="s">
        <v>767</v>
      </c>
      <c r="AY145" s="262" t="s">
        <v>800</v>
      </c>
    </row>
    <row r="146" spans="2:65" s="106" customFormat="1" ht="21.75" customHeight="1">
      <c r="B146" s="107"/>
      <c r="C146" s="234" t="s">
        <v>812</v>
      </c>
      <c r="D146" s="234" t="s">
        <v>556</v>
      </c>
      <c r="E146" s="235" t="s">
        <v>1172</v>
      </c>
      <c r="F146" s="236" t="s">
        <v>1173</v>
      </c>
      <c r="G146" s="237" t="s">
        <v>617</v>
      </c>
      <c r="H146" s="238">
        <v>88.8</v>
      </c>
      <c r="I146" s="239"/>
      <c r="J146" s="240">
        <f>ROUND(I146*H146,2)</f>
        <v>0</v>
      </c>
      <c r="K146" s="236" t="s">
        <v>947</v>
      </c>
      <c r="L146" s="107"/>
      <c r="M146" s="241" t="s">
        <v>25</v>
      </c>
      <c r="N146" s="242" t="s">
        <v>728</v>
      </c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AR146" s="245" t="s">
        <v>806</v>
      </c>
      <c r="AT146" s="245" t="s">
        <v>556</v>
      </c>
      <c r="AU146" s="245" t="s">
        <v>769</v>
      </c>
      <c r="AY146" s="92" t="s">
        <v>800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92" t="s">
        <v>767</v>
      </c>
      <c r="BK146" s="246">
        <f>ROUND(I146*H146,2)</f>
        <v>0</v>
      </c>
      <c r="BL146" s="92" t="s">
        <v>806</v>
      </c>
      <c r="BM146" s="245" t="s">
        <v>1174</v>
      </c>
    </row>
    <row r="147" spans="2:65" s="106" customFormat="1">
      <c r="B147" s="107"/>
      <c r="D147" s="247" t="s">
        <v>808</v>
      </c>
      <c r="F147" s="248" t="s">
        <v>1175</v>
      </c>
      <c r="I147" s="167"/>
      <c r="L147" s="107"/>
      <c r="M147" s="249"/>
      <c r="T147" s="131"/>
      <c r="AT147" s="92" t="s">
        <v>808</v>
      </c>
      <c r="AU147" s="92" t="s">
        <v>769</v>
      </c>
    </row>
    <row r="148" spans="2:65" s="260" customFormat="1">
      <c r="B148" s="261"/>
      <c r="D148" s="247" t="s">
        <v>815</v>
      </c>
      <c r="E148" s="262" t="s">
        <v>25</v>
      </c>
      <c r="F148" s="263" t="s">
        <v>1169</v>
      </c>
      <c r="H148" s="264">
        <v>88.8</v>
      </c>
      <c r="I148" s="265"/>
      <c r="L148" s="261"/>
      <c r="M148" s="266"/>
      <c r="T148" s="267"/>
      <c r="AT148" s="262" t="s">
        <v>815</v>
      </c>
      <c r="AU148" s="262" t="s">
        <v>769</v>
      </c>
      <c r="AV148" s="260" t="s">
        <v>769</v>
      </c>
      <c r="AW148" s="260" t="s">
        <v>720</v>
      </c>
      <c r="AX148" s="260" t="s">
        <v>767</v>
      </c>
      <c r="AY148" s="262" t="s">
        <v>800</v>
      </c>
    </row>
    <row r="149" spans="2:65" s="106" customFormat="1" ht="16.5" customHeight="1">
      <c r="B149" s="107"/>
      <c r="C149" s="234" t="s">
        <v>861</v>
      </c>
      <c r="D149" s="234" t="s">
        <v>556</v>
      </c>
      <c r="E149" s="235" t="s">
        <v>963</v>
      </c>
      <c r="F149" s="236" t="s">
        <v>1176</v>
      </c>
      <c r="G149" s="237" t="s">
        <v>620</v>
      </c>
      <c r="H149" s="238">
        <v>29.6</v>
      </c>
      <c r="I149" s="239"/>
      <c r="J149" s="240">
        <f>ROUND(I149*H149,2)</f>
        <v>0</v>
      </c>
      <c r="K149" s="236" t="s">
        <v>25</v>
      </c>
      <c r="L149" s="107"/>
      <c r="M149" s="241" t="s">
        <v>25</v>
      </c>
      <c r="N149" s="242" t="s">
        <v>728</v>
      </c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AR149" s="245" t="s">
        <v>806</v>
      </c>
      <c r="AT149" s="245" t="s">
        <v>556</v>
      </c>
      <c r="AU149" s="245" t="s">
        <v>769</v>
      </c>
      <c r="AY149" s="92" t="s">
        <v>800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92" t="s">
        <v>767</v>
      </c>
      <c r="BK149" s="246">
        <f>ROUND(I149*H149,2)</f>
        <v>0</v>
      </c>
      <c r="BL149" s="92" t="s">
        <v>806</v>
      </c>
      <c r="BM149" s="245" t="s">
        <v>1177</v>
      </c>
    </row>
    <row r="150" spans="2:65" s="106" customFormat="1">
      <c r="B150" s="107"/>
      <c r="D150" s="247" t="s">
        <v>808</v>
      </c>
      <c r="F150" s="248" t="s">
        <v>1016</v>
      </c>
      <c r="I150" s="167"/>
      <c r="L150" s="107"/>
      <c r="M150" s="249"/>
      <c r="T150" s="131"/>
      <c r="AT150" s="92" t="s">
        <v>808</v>
      </c>
      <c r="AU150" s="92" t="s">
        <v>769</v>
      </c>
    </row>
    <row r="151" spans="2:65" s="260" customFormat="1">
      <c r="B151" s="261"/>
      <c r="D151" s="247" t="s">
        <v>815</v>
      </c>
      <c r="E151" s="262" t="s">
        <v>25</v>
      </c>
      <c r="F151" s="263" t="s">
        <v>1178</v>
      </c>
      <c r="H151" s="264">
        <v>29.6</v>
      </c>
      <c r="I151" s="265"/>
      <c r="L151" s="261"/>
      <c r="M151" s="266"/>
      <c r="T151" s="267"/>
      <c r="AT151" s="262" t="s">
        <v>815</v>
      </c>
      <c r="AU151" s="262" t="s">
        <v>769</v>
      </c>
      <c r="AV151" s="260" t="s">
        <v>769</v>
      </c>
      <c r="AW151" s="260" t="s">
        <v>720</v>
      </c>
      <c r="AX151" s="260" t="s">
        <v>767</v>
      </c>
      <c r="AY151" s="262" t="s">
        <v>800</v>
      </c>
    </row>
    <row r="152" spans="2:65" s="106" customFormat="1" ht="16.5" customHeight="1">
      <c r="B152" s="107"/>
      <c r="C152" s="234" t="s">
        <v>1179</v>
      </c>
      <c r="D152" s="234" t="s">
        <v>556</v>
      </c>
      <c r="E152" s="235" t="s">
        <v>963</v>
      </c>
      <c r="F152" s="236" t="s">
        <v>1176</v>
      </c>
      <c r="G152" s="237" t="s">
        <v>620</v>
      </c>
      <c r="H152" s="238">
        <v>29.6</v>
      </c>
      <c r="I152" s="239"/>
      <c r="J152" s="240">
        <f>ROUND(I152*H152,2)</f>
        <v>0</v>
      </c>
      <c r="K152" s="236" t="s">
        <v>25</v>
      </c>
      <c r="L152" s="107"/>
      <c r="M152" s="241" t="s">
        <v>25</v>
      </c>
      <c r="N152" s="242" t="s">
        <v>728</v>
      </c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AR152" s="245" t="s">
        <v>806</v>
      </c>
      <c r="AT152" s="245" t="s">
        <v>556</v>
      </c>
      <c r="AU152" s="245" t="s">
        <v>769</v>
      </c>
      <c r="AY152" s="92" t="s">
        <v>800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92" t="s">
        <v>767</v>
      </c>
      <c r="BK152" s="246">
        <f>ROUND(I152*H152,2)</f>
        <v>0</v>
      </c>
      <c r="BL152" s="92" t="s">
        <v>806</v>
      </c>
      <c r="BM152" s="245" t="s">
        <v>1180</v>
      </c>
    </row>
    <row r="153" spans="2:65" s="106" customFormat="1">
      <c r="B153" s="107"/>
      <c r="D153" s="247" t="s">
        <v>808</v>
      </c>
      <c r="F153" s="248" t="s">
        <v>1016</v>
      </c>
      <c r="I153" s="167"/>
      <c r="L153" s="107"/>
      <c r="M153" s="249"/>
      <c r="T153" s="131"/>
      <c r="AT153" s="92" t="s">
        <v>808</v>
      </c>
      <c r="AU153" s="92" t="s">
        <v>769</v>
      </c>
    </row>
    <row r="154" spans="2:65" s="260" customFormat="1">
      <c r="B154" s="261"/>
      <c r="D154" s="247" t="s">
        <v>815</v>
      </c>
      <c r="E154" s="262" t="s">
        <v>25</v>
      </c>
      <c r="F154" s="263" t="s">
        <v>1178</v>
      </c>
      <c r="H154" s="264">
        <v>29.6</v>
      </c>
      <c r="I154" s="265"/>
      <c r="L154" s="261"/>
      <c r="M154" s="266"/>
      <c r="T154" s="267"/>
      <c r="AT154" s="262" t="s">
        <v>815</v>
      </c>
      <c r="AU154" s="262" t="s">
        <v>769</v>
      </c>
      <c r="AV154" s="260" t="s">
        <v>769</v>
      </c>
      <c r="AW154" s="260" t="s">
        <v>720</v>
      </c>
      <c r="AX154" s="260" t="s">
        <v>767</v>
      </c>
      <c r="AY154" s="262" t="s">
        <v>800</v>
      </c>
    </row>
    <row r="155" spans="2:65" s="106" customFormat="1" ht="16.5" customHeight="1">
      <c r="B155" s="107"/>
      <c r="C155" s="234" t="s">
        <v>1181</v>
      </c>
      <c r="D155" s="234" t="s">
        <v>556</v>
      </c>
      <c r="E155" s="235" t="s">
        <v>963</v>
      </c>
      <c r="F155" s="236" t="s">
        <v>1176</v>
      </c>
      <c r="G155" s="237" t="s">
        <v>620</v>
      </c>
      <c r="H155" s="238">
        <v>29.6</v>
      </c>
      <c r="I155" s="239"/>
      <c r="J155" s="240">
        <f>ROUND(I155*H155,2)</f>
        <v>0</v>
      </c>
      <c r="K155" s="236" t="s">
        <v>25</v>
      </c>
      <c r="L155" s="107"/>
      <c r="M155" s="241" t="s">
        <v>25</v>
      </c>
      <c r="N155" s="242" t="s">
        <v>728</v>
      </c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AR155" s="245" t="s">
        <v>806</v>
      </c>
      <c r="AT155" s="245" t="s">
        <v>556</v>
      </c>
      <c r="AU155" s="245" t="s">
        <v>769</v>
      </c>
      <c r="AY155" s="92" t="s">
        <v>800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92" t="s">
        <v>767</v>
      </c>
      <c r="BK155" s="246">
        <f>ROUND(I155*H155,2)</f>
        <v>0</v>
      </c>
      <c r="BL155" s="92" t="s">
        <v>806</v>
      </c>
      <c r="BM155" s="245" t="s">
        <v>1182</v>
      </c>
    </row>
    <row r="156" spans="2:65" s="106" customFormat="1">
      <c r="B156" s="107"/>
      <c r="D156" s="247" t="s">
        <v>808</v>
      </c>
      <c r="F156" s="248" t="s">
        <v>1016</v>
      </c>
      <c r="I156" s="167"/>
      <c r="L156" s="107"/>
      <c r="M156" s="249"/>
      <c r="T156" s="131"/>
      <c r="AT156" s="92" t="s">
        <v>808</v>
      </c>
      <c r="AU156" s="92" t="s">
        <v>769</v>
      </c>
    </row>
    <row r="157" spans="2:65" s="260" customFormat="1">
      <c r="B157" s="261"/>
      <c r="D157" s="247" t="s">
        <v>815</v>
      </c>
      <c r="E157" s="262" t="s">
        <v>25</v>
      </c>
      <c r="F157" s="263" t="s">
        <v>1178</v>
      </c>
      <c r="H157" s="264">
        <v>29.6</v>
      </c>
      <c r="I157" s="265"/>
      <c r="L157" s="261"/>
      <c r="M157" s="266"/>
      <c r="T157" s="267"/>
      <c r="AT157" s="262" t="s">
        <v>815</v>
      </c>
      <c r="AU157" s="262" t="s">
        <v>769</v>
      </c>
      <c r="AV157" s="260" t="s">
        <v>769</v>
      </c>
      <c r="AW157" s="260" t="s">
        <v>720</v>
      </c>
      <c r="AX157" s="260" t="s">
        <v>767</v>
      </c>
      <c r="AY157" s="262" t="s">
        <v>800</v>
      </c>
    </row>
    <row r="158" spans="2:65" s="221" customFormat="1" ht="22.9" customHeight="1">
      <c r="B158" s="222"/>
      <c r="D158" s="223" t="s">
        <v>549</v>
      </c>
      <c r="E158" s="232" t="s">
        <v>1183</v>
      </c>
      <c r="F158" s="232" t="s">
        <v>1184</v>
      </c>
      <c r="I158" s="225"/>
      <c r="J158" s="233">
        <f>BK158</f>
        <v>0</v>
      </c>
      <c r="L158" s="222"/>
      <c r="M158" s="227"/>
      <c r="P158" s="228">
        <f>SUM(P159:P177)</f>
        <v>0</v>
      </c>
      <c r="R158" s="228">
        <f>SUM(R159:R177)</f>
        <v>0</v>
      </c>
      <c r="T158" s="229">
        <f>SUM(T159:T177)</f>
        <v>0</v>
      </c>
      <c r="AR158" s="223" t="s">
        <v>767</v>
      </c>
      <c r="AT158" s="230" t="s">
        <v>549</v>
      </c>
      <c r="AU158" s="230" t="s">
        <v>767</v>
      </c>
      <c r="AY158" s="223" t="s">
        <v>800</v>
      </c>
      <c r="BK158" s="231">
        <f>SUM(BK159:BK177)</f>
        <v>0</v>
      </c>
    </row>
    <row r="159" spans="2:65" s="106" customFormat="1" ht="21.75" customHeight="1">
      <c r="B159" s="107"/>
      <c r="C159" s="234" t="s">
        <v>873</v>
      </c>
      <c r="D159" s="234" t="s">
        <v>556</v>
      </c>
      <c r="E159" s="235" t="s">
        <v>1109</v>
      </c>
      <c r="F159" s="236" t="s">
        <v>1185</v>
      </c>
      <c r="G159" s="237" t="s">
        <v>617</v>
      </c>
      <c r="H159" s="238">
        <v>173</v>
      </c>
      <c r="I159" s="239"/>
      <c r="J159" s="240">
        <f>ROUND(I159*H159,2)</f>
        <v>0</v>
      </c>
      <c r="K159" s="236" t="s">
        <v>924</v>
      </c>
      <c r="L159" s="107"/>
      <c r="M159" s="241" t="s">
        <v>25</v>
      </c>
      <c r="N159" s="242" t="s">
        <v>728</v>
      </c>
      <c r="P159" s="243">
        <f>O159*H159</f>
        <v>0</v>
      </c>
      <c r="Q159" s="243">
        <v>0</v>
      </c>
      <c r="R159" s="243">
        <f>Q159*H159</f>
        <v>0</v>
      </c>
      <c r="S159" s="243">
        <v>0</v>
      </c>
      <c r="T159" s="244">
        <f>S159*H159</f>
        <v>0</v>
      </c>
      <c r="AR159" s="245" t="s">
        <v>806</v>
      </c>
      <c r="AT159" s="245" t="s">
        <v>556</v>
      </c>
      <c r="AU159" s="245" t="s">
        <v>769</v>
      </c>
      <c r="AY159" s="92" t="s">
        <v>800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92" t="s">
        <v>767</v>
      </c>
      <c r="BK159" s="246">
        <f>ROUND(I159*H159,2)</f>
        <v>0</v>
      </c>
      <c r="BL159" s="92" t="s">
        <v>806</v>
      </c>
      <c r="BM159" s="245" t="s">
        <v>1186</v>
      </c>
    </row>
    <row r="160" spans="2:65" s="106" customFormat="1">
      <c r="B160" s="107"/>
      <c r="D160" s="247" t="s">
        <v>808</v>
      </c>
      <c r="F160" s="248" t="s">
        <v>1112</v>
      </c>
      <c r="I160" s="167"/>
      <c r="L160" s="107"/>
      <c r="M160" s="249"/>
      <c r="T160" s="131"/>
      <c r="AT160" s="92" t="s">
        <v>808</v>
      </c>
      <c r="AU160" s="92" t="s">
        <v>769</v>
      </c>
    </row>
    <row r="161" spans="2:65" s="260" customFormat="1">
      <c r="B161" s="261"/>
      <c r="D161" s="247" t="s">
        <v>815</v>
      </c>
      <c r="E161" s="262" t="s">
        <v>25</v>
      </c>
      <c r="F161" s="263" t="s">
        <v>1187</v>
      </c>
      <c r="H161" s="264">
        <v>173</v>
      </c>
      <c r="I161" s="265"/>
      <c r="L161" s="261"/>
      <c r="M161" s="266"/>
      <c r="T161" s="267"/>
      <c r="AT161" s="262" t="s">
        <v>815</v>
      </c>
      <c r="AU161" s="262" t="s">
        <v>769</v>
      </c>
      <c r="AV161" s="260" t="s">
        <v>769</v>
      </c>
      <c r="AW161" s="260" t="s">
        <v>720</v>
      </c>
      <c r="AX161" s="260" t="s">
        <v>767</v>
      </c>
      <c r="AY161" s="262" t="s">
        <v>800</v>
      </c>
    </row>
    <row r="162" spans="2:65" s="106" customFormat="1" ht="21.75" customHeight="1">
      <c r="B162" s="107"/>
      <c r="C162" s="234" t="s">
        <v>850</v>
      </c>
      <c r="D162" s="234" t="s">
        <v>556</v>
      </c>
      <c r="E162" s="235" t="s">
        <v>1109</v>
      </c>
      <c r="F162" s="236" t="s">
        <v>1185</v>
      </c>
      <c r="G162" s="237" t="s">
        <v>617</v>
      </c>
      <c r="H162" s="238">
        <v>173</v>
      </c>
      <c r="I162" s="239"/>
      <c r="J162" s="240">
        <f>ROUND(I162*H162,2)</f>
        <v>0</v>
      </c>
      <c r="K162" s="236" t="s">
        <v>924</v>
      </c>
      <c r="L162" s="107"/>
      <c r="M162" s="241" t="s">
        <v>25</v>
      </c>
      <c r="N162" s="242" t="s">
        <v>728</v>
      </c>
      <c r="P162" s="243">
        <f>O162*H162</f>
        <v>0</v>
      </c>
      <c r="Q162" s="243">
        <v>0</v>
      </c>
      <c r="R162" s="243">
        <f>Q162*H162</f>
        <v>0</v>
      </c>
      <c r="S162" s="243">
        <v>0</v>
      </c>
      <c r="T162" s="244">
        <f>S162*H162</f>
        <v>0</v>
      </c>
      <c r="AR162" s="245" t="s">
        <v>806</v>
      </c>
      <c r="AT162" s="245" t="s">
        <v>556</v>
      </c>
      <c r="AU162" s="245" t="s">
        <v>769</v>
      </c>
      <c r="AY162" s="92" t="s">
        <v>800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92" t="s">
        <v>767</v>
      </c>
      <c r="BK162" s="246">
        <f>ROUND(I162*H162,2)</f>
        <v>0</v>
      </c>
      <c r="BL162" s="92" t="s">
        <v>806</v>
      </c>
      <c r="BM162" s="245" t="s">
        <v>1188</v>
      </c>
    </row>
    <row r="163" spans="2:65" s="106" customFormat="1">
      <c r="B163" s="107"/>
      <c r="D163" s="247" t="s">
        <v>808</v>
      </c>
      <c r="F163" s="248" t="s">
        <v>1112</v>
      </c>
      <c r="I163" s="167"/>
      <c r="L163" s="107"/>
      <c r="M163" s="249"/>
      <c r="T163" s="131"/>
      <c r="AT163" s="92" t="s">
        <v>808</v>
      </c>
      <c r="AU163" s="92" t="s">
        <v>769</v>
      </c>
    </row>
    <row r="164" spans="2:65" s="106" customFormat="1" ht="21.75" customHeight="1">
      <c r="B164" s="107"/>
      <c r="C164" s="234" t="s">
        <v>692</v>
      </c>
      <c r="D164" s="234" t="s">
        <v>556</v>
      </c>
      <c r="E164" s="235" t="s">
        <v>1109</v>
      </c>
      <c r="F164" s="236" t="s">
        <v>1185</v>
      </c>
      <c r="G164" s="237" t="s">
        <v>617</v>
      </c>
      <c r="H164" s="238">
        <v>173</v>
      </c>
      <c r="I164" s="239"/>
      <c r="J164" s="240">
        <f>ROUND(I164*H164,2)</f>
        <v>0</v>
      </c>
      <c r="K164" s="236" t="s">
        <v>924</v>
      </c>
      <c r="L164" s="107"/>
      <c r="M164" s="241" t="s">
        <v>25</v>
      </c>
      <c r="N164" s="242" t="s">
        <v>728</v>
      </c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AR164" s="245" t="s">
        <v>806</v>
      </c>
      <c r="AT164" s="245" t="s">
        <v>556</v>
      </c>
      <c r="AU164" s="245" t="s">
        <v>769</v>
      </c>
      <c r="AY164" s="92" t="s">
        <v>800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92" t="s">
        <v>767</v>
      </c>
      <c r="BK164" s="246">
        <f>ROUND(I164*H164,2)</f>
        <v>0</v>
      </c>
      <c r="BL164" s="92" t="s">
        <v>806</v>
      </c>
      <c r="BM164" s="245" t="s">
        <v>1189</v>
      </c>
    </row>
    <row r="165" spans="2:65" s="106" customFormat="1">
      <c r="B165" s="107"/>
      <c r="D165" s="247" t="s">
        <v>808</v>
      </c>
      <c r="F165" s="248" t="s">
        <v>1112</v>
      </c>
      <c r="I165" s="167"/>
      <c r="L165" s="107"/>
      <c r="M165" s="249"/>
      <c r="T165" s="131"/>
      <c r="AT165" s="92" t="s">
        <v>808</v>
      </c>
      <c r="AU165" s="92" t="s">
        <v>769</v>
      </c>
    </row>
    <row r="166" spans="2:65" s="106" customFormat="1" ht="21.75" customHeight="1">
      <c r="B166" s="107"/>
      <c r="C166" s="234" t="s">
        <v>887</v>
      </c>
      <c r="D166" s="234" t="s">
        <v>556</v>
      </c>
      <c r="E166" s="235" t="s">
        <v>1109</v>
      </c>
      <c r="F166" s="236" t="s">
        <v>1185</v>
      </c>
      <c r="G166" s="237" t="s">
        <v>617</v>
      </c>
      <c r="H166" s="238">
        <v>173</v>
      </c>
      <c r="I166" s="239"/>
      <c r="J166" s="240">
        <f>ROUND(I166*H166,2)</f>
        <v>0</v>
      </c>
      <c r="K166" s="236" t="s">
        <v>924</v>
      </c>
      <c r="L166" s="107"/>
      <c r="M166" s="241" t="s">
        <v>25</v>
      </c>
      <c r="N166" s="242" t="s">
        <v>728</v>
      </c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AR166" s="245" t="s">
        <v>806</v>
      </c>
      <c r="AT166" s="245" t="s">
        <v>556</v>
      </c>
      <c r="AU166" s="245" t="s">
        <v>769</v>
      </c>
      <c r="AY166" s="92" t="s">
        <v>800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92" t="s">
        <v>767</v>
      </c>
      <c r="BK166" s="246">
        <f>ROUND(I166*H166,2)</f>
        <v>0</v>
      </c>
      <c r="BL166" s="92" t="s">
        <v>806</v>
      </c>
      <c r="BM166" s="245" t="s">
        <v>1190</v>
      </c>
    </row>
    <row r="167" spans="2:65" s="106" customFormat="1">
      <c r="B167" s="107"/>
      <c r="D167" s="247" t="s">
        <v>808</v>
      </c>
      <c r="F167" s="248" t="s">
        <v>1112</v>
      </c>
      <c r="I167" s="167"/>
      <c r="L167" s="107"/>
      <c r="M167" s="249"/>
      <c r="T167" s="131"/>
      <c r="AT167" s="92" t="s">
        <v>808</v>
      </c>
      <c r="AU167" s="92" t="s">
        <v>769</v>
      </c>
    </row>
    <row r="168" spans="2:65" s="106" customFormat="1" ht="21.75" customHeight="1">
      <c r="B168" s="107"/>
      <c r="C168" s="234" t="s">
        <v>892</v>
      </c>
      <c r="D168" s="234" t="s">
        <v>556</v>
      </c>
      <c r="E168" s="235" t="s">
        <v>1109</v>
      </c>
      <c r="F168" s="236" t="s">
        <v>1185</v>
      </c>
      <c r="G168" s="237" t="s">
        <v>617</v>
      </c>
      <c r="H168" s="238">
        <v>173</v>
      </c>
      <c r="I168" s="239"/>
      <c r="J168" s="240">
        <f>ROUND(I168*H168,2)</f>
        <v>0</v>
      </c>
      <c r="K168" s="236" t="s">
        <v>924</v>
      </c>
      <c r="L168" s="107"/>
      <c r="M168" s="241" t="s">
        <v>25</v>
      </c>
      <c r="N168" s="242" t="s">
        <v>728</v>
      </c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AR168" s="245" t="s">
        <v>806</v>
      </c>
      <c r="AT168" s="245" t="s">
        <v>556</v>
      </c>
      <c r="AU168" s="245" t="s">
        <v>769</v>
      </c>
      <c r="AY168" s="92" t="s">
        <v>800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92" t="s">
        <v>767</v>
      </c>
      <c r="BK168" s="246">
        <f>ROUND(I168*H168,2)</f>
        <v>0</v>
      </c>
      <c r="BL168" s="92" t="s">
        <v>806</v>
      </c>
      <c r="BM168" s="245" t="s">
        <v>1191</v>
      </c>
    </row>
    <row r="169" spans="2:65" s="106" customFormat="1">
      <c r="B169" s="107"/>
      <c r="D169" s="247" t="s">
        <v>808</v>
      </c>
      <c r="F169" s="248" t="s">
        <v>1112</v>
      </c>
      <c r="I169" s="167"/>
      <c r="L169" s="107"/>
      <c r="M169" s="249"/>
      <c r="T169" s="131"/>
      <c r="AT169" s="92" t="s">
        <v>808</v>
      </c>
      <c r="AU169" s="92" t="s">
        <v>769</v>
      </c>
    </row>
    <row r="170" spans="2:65" s="106" customFormat="1" ht="21.75" customHeight="1">
      <c r="B170" s="107"/>
      <c r="C170" s="234" t="s">
        <v>898</v>
      </c>
      <c r="D170" s="234" t="s">
        <v>556</v>
      </c>
      <c r="E170" s="235" t="s">
        <v>1109</v>
      </c>
      <c r="F170" s="236" t="s">
        <v>1185</v>
      </c>
      <c r="G170" s="237" t="s">
        <v>617</v>
      </c>
      <c r="H170" s="238">
        <v>173</v>
      </c>
      <c r="I170" s="239"/>
      <c r="J170" s="240">
        <f>ROUND(I170*H170,2)</f>
        <v>0</v>
      </c>
      <c r="K170" s="236" t="s">
        <v>924</v>
      </c>
      <c r="L170" s="107"/>
      <c r="M170" s="241" t="s">
        <v>25</v>
      </c>
      <c r="N170" s="242" t="s">
        <v>728</v>
      </c>
      <c r="P170" s="243">
        <f>O170*H170</f>
        <v>0</v>
      </c>
      <c r="Q170" s="243">
        <v>0</v>
      </c>
      <c r="R170" s="243">
        <f>Q170*H170</f>
        <v>0</v>
      </c>
      <c r="S170" s="243">
        <v>0</v>
      </c>
      <c r="T170" s="244">
        <f>S170*H170</f>
        <v>0</v>
      </c>
      <c r="AR170" s="245" t="s">
        <v>806</v>
      </c>
      <c r="AT170" s="245" t="s">
        <v>556</v>
      </c>
      <c r="AU170" s="245" t="s">
        <v>769</v>
      </c>
      <c r="AY170" s="92" t="s">
        <v>800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92" t="s">
        <v>767</v>
      </c>
      <c r="BK170" s="246">
        <f>ROUND(I170*H170,2)</f>
        <v>0</v>
      </c>
      <c r="BL170" s="92" t="s">
        <v>806</v>
      </c>
      <c r="BM170" s="245" t="s">
        <v>1192</v>
      </c>
    </row>
    <row r="171" spans="2:65" s="106" customFormat="1">
      <c r="B171" s="107"/>
      <c r="D171" s="247" t="s">
        <v>808</v>
      </c>
      <c r="F171" s="248" t="s">
        <v>1112</v>
      </c>
      <c r="I171" s="167"/>
      <c r="L171" s="107"/>
      <c r="M171" s="249"/>
      <c r="T171" s="131"/>
      <c r="AT171" s="92" t="s">
        <v>808</v>
      </c>
      <c r="AU171" s="92" t="s">
        <v>769</v>
      </c>
    </row>
    <row r="172" spans="2:65" s="106" customFormat="1" ht="21.75" customHeight="1">
      <c r="B172" s="107"/>
      <c r="C172" s="234" t="s">
        <v>904</v>
      </c>
      <c r="D172" s="234" t="s">
        <v>556</v>
      </c>
      <c r="E172" s="235" t="s">
        <v>1109</v>
      </c>
      <c r="F172" s="236" t="s">
        <v>1185</v>
      </c>
      <c r="G172" s="237" t="s">
        <v>617</v>
      </c>
      <c r="H172" s="238">
        <v>173</v>
      </c>
      <c r="I172" s="239"/>
      <c r="J172" s="240">
        <f>ROUND(I172*H172,2)</f>
        <v>0</v>
      </c>
      <c r="K172" s="236" t="s">
        <v>924</v>
      </c>
      <c r="L172" s="107"/>
      <c r="M172" s="241" t="s">
        <v>25</v>
      </c>
      <c r="N172" s="242" t="s">
        <v>728</v>
      </c>
      <c r="P172" s="243">
        <f>O172*H172</f>
        <v>0</v>
      </c>
      <c r="Q172" s="243">
        <v>0</v>
      </c>
      <c r="R172" s="243">
        <f>Q172*H172</f>
        <v>0</v>
      </c>
      <c r="S172" s="243">
        <v>0</v>
      </c>
      <c r="T172" s="244">
        <f>S172*H172</f>
        <v>0</v>
      </c>
      <c r="AR172" s="245" t="s">
        <v>806</v>
      </c>
      <c r="AT172" s="245" t="s">
        <v>556</v>
      </c>
      <c r="AU172" s="245" t="s">
        <v>769</v>
      </c>
      <c r="AY172" s="92" t="s">
        <v>800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92" t="s">
        <v>767</v>
      </c>
      <c r="BK172" s="246">
        <f>ROUND(I172*H172,2)</f>
        <v>0</v>
      </c>
      <c r="BL172" s="92" t="s">
        <v>806</v>
      </c>
      <c r="BM172" s="245" t="s">
        <v>1193</v>
      </c>
    </row>
    <row r="173" spans="2:65" s="106" customFormat="1">
      <c r="B173" s="107"/>
      <c r="D173" s="247" t="s">
        <v>808</v>
      </c>
      <c r="F173" s="248" t="s">
        <v>1112</v>
      </c>
      <c r="I173" s="167"/>
      <c r="L173" s="107"/>
      <c r="M173" s="249"/>
      <c r="T173" s="131"/>
      <c r="AT173" s="92" t="s">
        <v>808</v>
      </c>
      <c r="AU173" s="92" t="s">
        <v>769</v>
      </c>
    </row>
    <row r="174" spans="2:65" s="106" customFormat="1" ht="21.75" customHeight="1">
      <c r="B174" s="107"/>
      <c r="C174" s="234" t="s">
        <v>691</v>
      </c>
      <c r="D174" s="234" t="s">
        <v>556</v>
      </c>
      <c r="E174" s="235" t="s">
        <v>1194</v>
      </c>
      <c r="F174" s="236" t="s">
        <v>1195</v>
      </c>
      <c r="G174" s="237" t="s">
        <v>617</v>
      </c>
      <c r="H174" s="238">
        <v>173</v>
      </c>
      <c r="I174" s="239"/>
      <c r="J174" s="240">
        <f>ROUND(I174*H174,2)</f>
        <v>0</v>
      </c>
      <c r="K174" s="236" t="s">
        <v>947</v>
      </c>
      <c r="L174" s="107"/>
      <c r="M174" s="241" t="s">
        <v>25</v>
      </c>
      <c r="N174" s="242" t="s">
        <v>728</v>
      </c>
      <c r="P174" s="243">
        <f>O174*H174</f>
        <v>0</v>
      </c>
      <c r="Q174" s="243">
        <v>0</v>
      </c>
      <c r="R174" s="243">
        <f>Q174*H174</f>
        <v>0</v>
      </c>
      <c r="S174" s="243">
        <v>0</v>
      </c>
      <c r="T174" s="244">
        <f>S174*H174</f>
        <v>0</v>
      </c>
      <c r="AR174" s="245" t="s">
        <v>806</v>
      </c>
      <c r="AT174" s="245" t="s">
        <v>556</v>
      </c>
      <c r="AU174" s="245" t="s">
        <v>769</v>
      </c>
      <c r="AY174" s="92" t="s">
        <v>800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92" t="s">
        <v>767</v>
      </c>
      <c r="BK174" s="246">
        <f>ROUND(I174*H174,2)</f>
        <v>0</v>
      </c>
      <c r="BL174" s="92" t="s">
        <v>806</v>
      </c>
      <c r="BM174" s="245" t="s">
        <v>1196</v>
      </c>
    </row>
    <row r="175" spans="2:65" s="106" customFormat="1" ht="19.5">
      <c r="B175" s="107"/>
      <c r="D175" s="247" t="s">
        <v>808</v>
      </c>
      <c r="F175" s="248" t="s">
        <v>1197</v>
      </c>
      <c r="I175" s="167"/>
      <c r="L175" s="107"/>
      <c r="M175" s="249"/>
      <c r="T175" s="131"/>
      <c r="AT175" s="92" t="s">
        <v>808</v>
      </c>
      <c r="AU175" s="92" t="s">
        <v>769</v>
      </c>
    </row>
    <row r="176" spans="2:65" s="106" customFormat="1" ht="21.75" customHeight="1">
      <c r="B176" s="107"/>
      <c r="C176" s="234" t="s">
        <v>868</v>
      </c>
      <c r="D176" s="234" t="s">
        <v>556</v>
      </c>
      <c r="E176" s="235" t="s">
        <v>1198</v>
      </c>
      <c r="F176" s="236" t="s">
        <v>1199</v>
      </c>
      <c r="G176" s="237" t="s">
        <v>617</v>
      </c>
      <c r="H176" s="238">
        <v>173</v>
      </c>
      <c r="I176" s="239"/>
      <c r="J176" s="240">
        <f>ROUND(I176*H176,2)</f>
        <v>0</v>
      </c>
      <c r="K176" s="236" t="s">
        <v>25</v>
      </c>
      <c r="L176" s="107"/>
      <c r="M176" s="241" t="s">
        <v>25</v>
      </c>
      <c r="N176" s="242" t="s">
        <v>728</v>
      </c>
      <c r="P176" s="243">
        <f>O176*H176</f>
        <v>0</v>
      </c>
      <c r="Q176" s="243">
        <v>0</v>
      </c>
      <c r="R176" s="243">
        <f>Q176*H176</f>
        <v>0</v>
      </c>
      <c r="S176" s="243">
        <v>0</v>
      </c>
      <c r="T176" s="244">
        <f>S176*H176</f>
        <v>0</v>
      </c>
      <c r="AR176" s="245" t="s">
        <v>806</v>
      </c>
      <c r="AT176" s="245" t="s">
        <v>556</v>
      </c>
      <c r="AU176" s="245" t="s">
        <v>769</v>
      </c>
      <c r="AY176" s="92" t="s">
        <v>800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92" t="s">
        <v>767</v>
      </c>
      <c r="BK176" s="246">
        <f>ROUND(I176*H176,2)</f>
        <v>0</v>
      </c>
      <c r="BL176" s="92" t="s">
        <v>806</v>
      </c>
      <c r="BM176" s="245" t="s">
        <v>1200</v>
      </c>
    </row>
    <row r="177" spans="2:65" s="106" customFormat="1">
      <c r="B177" s="107"/>
      <c r="D177" s="247" t="s">
        <v>808</v>
      </c>
      <c r="F177" s="248" t="s">
        <v>1201</v>
      </c>
      <c r="I177" s="167"/>
      <c r="L177" s="107"/>
      <c r="M177" s="249"/>
      <c r="T177" s="131"/>
      <c r="AT177" s="92" t="s">
        <v>808</v>
      </c>
      <c r="AU177" s="92" t="s">
        <v>769</v>
      </c>
    </row>
    <row r="178" spans="2:65" s="221" customFormat="1" ht="25.9" customHeight="1">
      <c r="B178" s="222"/>
      <c r="D178" s="223" t="s">
        <v>549</v>
      </c>
      <c r="E178" s="224" t="s">
        <v>1202</v>
      </c>
      <c r="F178" s="224" t="s">
        <v>1203</v>
      </c>
      <c r="I178" s="225"/>
      <c r="J178" s="226">
        <f>BK178</f>
        <v>0</v>
      </c>
      <c r="L178" s="222"/>
      <c r="M178" s="227"/>
      <c r="P178" s="228">
        <f>SUM(P179:P225)</f>
        <v>0</v>
      </c>
      <c r="R178" s="228">
        <f>SUM(R179:R225)</f>
        <v>3.0000000000000004E-5</v>
      </c>
      <c r="T178" s="229">
        <f>SUM(T179:T225)</f>
        <v>0</v>
      </c>
      <c r="AR178" s="223" t="s">
        <v>767</v>
      </c>
      <c r="AT178" s="230" t="s">
        <v>549</v>
      </c>
      <c r="AU178" s="230" t="s">
        <v>760</v>
      </c>
      <c r="AY178" s="223" t="s">
        <v>800</v>
      </c>
      <c r="BK178" s="231">
        <f>SUM(BK179:BK225)</f>
        <v>0</v>
      </c>
    </row>
    <row r="179" spans="2:65" s="106" customFormat="1" ht="16.5" customHeight="1">
      <c r="B179" s="107"/>
      <c r="C179" s="234" t="s">
        <v>1012</v>
      </c>
      <c r="D179" s="234" t="s">
        <v>556</v>
      </c>
      <c r="E179" s="235" t="s">
        <v>1149</v>
      </c>
      <c r="F179" s="236" t="s">
        <v>1150</v>
      </c>
      <c r="G179" s="237" t="s">
        <v>559</v>
      </c>
      <c r="H179" s="238">
        <v>1.5</v>
      </c>
      <c r="I179" s="239"/>
      <c r="J179" s="240">
        <f>ROUND(I179*H179,2)</f>
        <v>0</v>
      </c>
      <c r="K179" s="236" t="s">
        <v>25</v>
      </c>
      <c r="L179" s="107"/>
      <c r="M179" s="241" t="s">
        <v>25</v>
      </c>
      <c r="N179" s="242" t="s">
        <v>728</v>
      </c>
      <c r="P179" s="243">
        <f>O179*H179</f>
        <v>0</v>
      </c>
      <c r="Q179" s="243">
        <v>2.0000000000000002E-5</v>
      </c>
      <c r="R179" s="243">
        <f>Q179*H179</f>
        <v>3.0000000000000004E-5</v>
      </c>
      <c r="S179" s="243">
        <v>0</v>
      </c>
      <c r="T179" s="244">
        <f>S179*H179</f>
        <v>0</v>
      </c>
      <c r="AR179" s="245" t="s">
        <v>806</v>
      </c>
      <c r="AT179" s="245" t="s">
        <v>556</v>
      </c>
      <c r="AU179" s="245" t="s">
        <v>767</v>
      </c>
      <c r="AY179" s="92" t="s">
        <v>800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92" t="s">
        <v>767</v>
      </c>
      <c r="BK179" s="246">
        <f>ROUND(I179*H179,2)</f>
        <v>0</v>
      </c>
      <c r="BL179" s="92" t="s">
        <v>806</v>
      </c>
      <c r="BM179" s="245" t="s">
        <v>1204</v>
      </c>
    </row>
    <row r="180" spans="2:65" s="106" customFormat="1">
      <c r="B180" s="107"/>
      <c r="D180" s="247" t="s">
        <v>808</v>
      </c>
      <c r="F180" s="248" t="s">
        <v>1152</v>
      </c>
      <c r="I180" s="167"/>
      <c r="L180" s="107"/>
      <c r="M180" s="249"/>
      <c r="T180" s="131"/>
      <c r="AT180" s="92" t="s">
        <v>808</v>
      </c>
      <c r="AU180" s="92" t="s">
        <v>767</v>
      </c>
    </row>
    <row r="181" spans="2:65" s="260" customFormat="1">
      <c r="B181" s="261"/>
      <c r="D181" s="247" t="s">
        <v>815</v>
      </c>
      <c r="E181" s="262" t="s">
        <v>25</v>
      </c>
      <c r="F181" s="263" t="s">
        <v>1153</v>
      </c>
      <c r="H181" s="264">
        <v>1.5</v>
      </c>
      <c r="I181" s="265"/>
      <c r="L181" s="261"/>
      <c r="M181" s="266"/>
      <c r="T181" s="267"/>
      <c r="AT181" s="262" t="s">
        <v>815</v>
      </c>
      <c r="AU181" s="262" t="s">
        <v>767</v>
      </c>
      <c r="AV181" s="260" t="s">
        <v>769</v>
      </c>
      <c r="AW181" s="260" t="s">
        <v>720</v>
      </c>
      <c r="AX181" s="260" t="s">
        <v>767</v>
      </c>
      <c r="AY181" s="262" t="s">
        <v>800</v>
      </c>
    </row>
    <row r="182" spans="2:65" s="106" customFormat="1" ht="16.5" customHeight="1">
      <c r="B182" s="107"/>
      <c r="C182" s="234" t="s">
        <v>1022</v>
      </c>
      <c r="D182" s="234" t="s">
        <v>556</v>
      </c>
      <c r="E182" s="235" t="s">
        <v>1154</v>
      </c>
      <c r="F182" s="236" t="s">
        <v>1155</v>
      </c>
      <c r="G182" s="237" t="s">
        <v>559</v>
      </c>
      <c r="H182" s="238">
        <v>3</v>
      </c>
      <c r="I182" s="239"/>
      <c r="J182" s="240">
        <f>ROUND(I182*H182,2)</f>
        <v>0</v>
      </c>
      <c r="K182" s="236" t="s">
        <v>25</v>
      </c>
      <c r="L182" s="107"/>
      <c r="M182" s="241" t="s">
        <v>25</v>
      </c>
      <c r="N182" s="242" t="s">
        <v>728</v>
      </c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AR182" s="245" t="s">
        <v>806</v>
      </c>
      <c r="AT182" s="245" t="s">
        <v>556</v>
      </c>
      <c r="AU182" s="245" t="s">
        <v>767</v>
      </c>
      <c r="AY182" s="92" t="s">
        <v>800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92" t="s">
        <v>767</v>
      </c>
      <c r="BK182" s="246">
        <f>ROUND(I182*H182,2)</f>
        <v>0</v>
      </c>
      <c r="BL182" s="92" t="s">
        <v>806</v>
      </c>
      <c r="BM182" s="245" t="s">
        <v>1205</v>
      </c>
    </row>
    <row r="183" spans="2:65" s="106" customFormat="1">
      <c r="B183" s="107"/>
      <c r="D183" s="247" t="s">
        <v>808</v>
      </c>
      <c r="F183" s="248" t="s">
        <v>1155</v>
      </c>
      <c r="I183" s="167"/>
      <c r="L183" s="107"/>
      <c r="M183" s="249"/>
      <c r="T183" s="131"/>
      <c r="AT183" s="92" t="s">
        <v>808</v>
      </c>
      <c r="AU183" s="92" t="s">
        <v>767</v>
      </c>
    </row>
    <row r="184" spans="2:65" s="106" customFormat="1" ht="16.5" customHeight="1">
      <c r="B184" s="107"/>
      <c r="C184" s="234" t="s">
        <v>1027</v>
      </c>
      <c r="D184" s="234" t="s">
        <v>556</v>
      </c>
      <c r="E184" s="235" t="s">
        <v>1159</v>
      </c>
      <c r="F184" s="236" t="s">
        <v>1160</v>
      </c>
      <c r="G184" s="237" t="s">
        <v>901</v>
      </c>
      <c r="H184" s="238">
        <v>35</v>
      </c>
      <c r="I184" s="239"/>
      <c r="J184" s="240">
        <f>ROUND(I184*H184,2)</f>
        <v>0</v>
      </c>
      <c r="K184" s="236" t="s">
        <v>25</v>
      </c>
      <c r="L184" s="107"/>
      <c r="M184" s="241" t="s">
        <v>25</v>
      </c>
      <c r="N184" s="242" t="s">
        <v>728</v>
      </c>
      <c r="P184" s="243">
        <f>O184*H184</f>
        <v>0</v>
      </c>
      <c r="Q184" s="243">
        <v>0</v>
      </c>
      <c r="R184" s="243">
        <f>Q184*H184</f>
        <v>0</v>
      </c>
      <c r="S184" s="243">
        <v>0</v>
      </c>
      <c r="T184" s="244">
        <f>S184*H184</f>
        <v>0</v>
      </c>
      <c r="AR184" s="245" t="s">
        <v>806</v>
      </c>
      <c r="AT184" s="245" t="s">
        <v>556</v>
      </c>
      <c r="AU184" s="245" t="s">
        <v>767</v>
      </c>
      <c r="AY184" s="92" t="s">
        <v>800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92" t="s">
        <v>767</v>
      </c>
      <c r="BK184" s="246">
        <f>ROUND(I184*H184,2)</f>
        <v>0</v>
      </c>
      <c r="BL184" s="92" t="s">
        <v>806</v>
      </c>
      <c r="BM184" s="245" t="s">
        <v>1206</v>
      </c>
    </row>
    <row r="185" spans="2:65" s="106" customFormat="1">
      <c r="B185" s="107"/>
      <c r="D185" s="247" t="s">
        <v>808</v>
      </c>
      <c r="F185" s="248" t="s">
        <v>1162</v>
      </c>
      <c r="I185" s="167"/>
      <c r="L185" s="107"/>
      <c r="M185" s="249"/>
      <c r="T185" s="131"/>
      <c r="AT185" s="92" t="s">
        <v>808</v>
      </c>
      <c r="AU185" s="92" t="s">
        <v>767</v>
      </c>
    </row>
    <row r="186" spans="2:65" s="106" customFormat="1" ht="21.75" customHeight="1">
      <c r="B186" s="107"/>
      <c r="C186" s="234" t="s">
        <v>1132</v>
      </c>
      <c r="D186" s="234" t="s">
        <v>556</v>
      </c>
      <c r="E186" s="235" t="s">
        <v>1165</v>
      </c>
      <c r="F186" s="236" t="s">
        <v>1166</v>
      </c>
      <c r="G186" s="237" t="s">
        <v>617</v>
      </c>
      <c r="H186" s="238">
        <v>88.8</v>
      </c>
      <c r="I186" s="239"/>
      <c r="J186" s="240">
        <f>ROUND(I186*H186,2)</f>
        <v>0</v>
      </c>
      <c r="K186" s="236" t="s">
        <v>25</v>
      </c>
      <c r="L186" s="107"/>
      <c r="M186" s="241" t="s">
        <v>25</v>
      </c>
      <c r="N186" s="242" t="s">
        <v>728</v>
      </c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AR186" s="245" t="s">
        <v>806</v>
      </c>
      <c r="AT186" s="245" t="s">
        <v>556</v>
      </c>
      <c r="AU186" s="245" t="s">
        <v>767</v>
      </c>
      <c r="AY186" s="92" t="s">
        <v>800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92" t="s">
        <v>767</v>
      </c>
      <c r="BK186" s="246">
        <f>ROUND(I186*H186,2)</f>
        <v>0</v>
      </c>
      <c r="BL186" s="92" t="s">
        <v>806</v>
      </c>
      <c r="BM186" s="245" t="s">
        <v>1207</v>
      </c>
    </row>
    <row r="187" spans="2:65" s="106" customFormat="1">
      <c r="B187" s="107"/>
      <c r="D187" s="247" t="s">
        <v>808</v>
      </c>
      <c r="F187" s="248" t="s">
        <v>1168</v>
      </c>
      <c r="I187" s="167"/>
      <c r="L187" s="107"/>
      <c r="M187" s="249"/>
      <c r="T187" s="131"/>
      <c r="AT187" s="92" t="s">
        <v>808</v>
      </c>
      <c r="AU187" s="92" t="s">
        <v>767</v>
      </c>
    </row>
    <row r="188" spans="2:65" s="260" customFormat="1">
      <c r="B188" s="261"/>
      <c r="D188" s="247" t="s">
        <v>815</v>
      </c>
      <c r="E188" s="262" t="s">
        <v>25</v>
      </c>
      <c r="F188" s="263" t="s">
        <v>1169</v>
      </c>
      <c r="H188" s="264">
        <v>88.8</v>
      </c>
      <c r="I188" s="265"/>
      <c r="L188" s="261"/>
      <c r="M188" s="266"/>
      <c r="T188" s="267"/>
      <c r="AT188" s="262" t="s">
        <v>815</v>
      </c>
      <c r="AU188" s="262" t="s">
        <v>767</v>
      </c>
      <c r="AV188" s="260" t="s">
        <v>769</v>
      </c>
      <c r="AW188" s="260" t="s">
        <v>720</v>
      </c>
      <c r="AX188" s="260" t="s">
        <v>767</v>
      </c>
      <c r="AY188" s="262" t="s">
        <v>800</v>
      </c>
    </row>
    <row r="189" spans="2:65" s="106" customFormat="1" ht="21.75" customHeight="1">
      <c r="B189" s="107"/>
      <c r="C189" s="234" t="s">
        <v>1126</v>
      </c>
      <c r="D189" s="234" t="s">
        <v>556</v>
      </c>
      <c r="E189" s="235" t="s">
        <v>1165</v>
      </c>
      <c r="F189" s="236" t="s">
        <v>1166</v>
      </c>
      <c r="G189" s="237" t="s">
        <v>617</v>
      </c>
      <c r="H189" s="238">
        <v>88.8</v>
      </c>
      <c r="I189" s="239"/>
      <c r="J189" s="240">
        <f>ROUND(I189*H189,2)</f>
        <v>0</v>
      </c>
      <c r="K189" s="236" t="s">
        <v>25</v>
      </c>
      <c r="L189" s="107"/>
      <c r="M189" s="241" t="s">
        <v>25</v>
      </c>
      <c r="N189" s="242" t="s">
        <v>728</v>
      </c>
      <c r="P189" s="243">
        <f>O189*H189</f>
        <v>0</v>
      </c>
      <c r="Q189" s="243">
        <v>0</v>
      </c>
      <c r="R189" s="243">
        <f>Q189*H189</f>
        <v>0</v>
      </c>
      <c r="S189" s="243">
        <v>0</v>
      </c>
      <c r="T189" s="244">
        <f>S189*H189</f>
        <v>0</v>
      </c>
      <c r="AR189" s="245" t="s">
        <v>806</v>
      </c>
      <c r="AT189" s="245" t="s">
        <v>556</v>
      </c>
      <c r="AU189" s="245" t="s">
        <v>767</v>
      </c>
      <c r="AY189" s="92" t="s">
        <v>800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92" t="s">
        <v>767</v>
      </c>
      <c r="BK189" s="246">
        <f>ROUND(I189*H189,2)</f>
        <v>0</v>
      </c>
      <c r="BL189" s="92" t="s">
        <v>806</v>
      </c>
      <c r="BM189" s="245" t="s">
        <v>1208</v>
      </c>
    </row>
    <row r="190" spans="2:65" s="106" customFormat="1">
      <c r="B190" s="107"/>
      <c r="D190" s="247" t="s">
        <v>808</v>
      </c>
      <c r="F190" s="248" t="s">
        <v>1168</v>
      </c>
      <c r="I190" s="167"/>
      <c r="L190" s="107"/>
      <c r="M190" s="249"/>
      <c r="T190" s="131"/>
      <c r="AT190" s="92" t="s">
        <v>808</v>
      </c>
      <c r="AU190" s="92" t="s">
        <v>767</v>
      </c>
    </row>
    <row r="191" spans="2:65" s="260" customFormat="1">
      <c r="B191" s="261"/>
      <c r="D191" s="247" t="s">
        <v>815</v>
      </c>
      <c r="E191" s="262" t="s">
        <v>25</v>
      </c>
      <c r="F191" s="263" t="s">
        <v>1169</v>
      </c>
      <c r="H191" s="264">
        <v>88.8</v>
      </c>
      <c r="I191" s="265"/>
      <c r="L191" s="261"/>
      <c r="M191" s="266"/>
      <c r="T191" s="267"/>
      <c r="AT191" s="262" t="s">
        <v>815</v>
      </c>
      <c r="AU191" s="262" t="s">
        <v>767</v>
      </c>
      <c r="AV191" s="260" t="s">
        <v>769</v>
      </c>
      <c r="AW191" s="260" t="s">
        <v>720</v>
      </c>
      <c r="AX191" s="260" t="s">
        <v>767</v>
      </c>
      <c r="AY191" s="262" t="s">
        <v>800</v>
      </c>
    </row>
    <row r="192" spans="2:65" s="106" customFormat="1" ht="21.75" customHeight="1">
      <c r="B192" s="107"/>
      <c r="C192" s="234" t="s">
        <v>1209</v>
      </c>
      <c r="D192" s="234" t="s">
        <v>556</v>
      </c>
      <c r="E192" s="235" t="s">
        <v>1165</v>
      </c>
      <c r="F192" s="236" t="s">
        <v>1166</v>
      </c>
      <c r="G192" s="237" t="s">
        <v>617</v>
      </c>
      <c r="H192" s="238">
        <v>88.8</v>
      </c>
      <c r="I192" s="239"/>
      <c r="J192" s="240">
        <f>ROUND(I192*H192,2)</f>
        <v>0</v>
      </c>
      <c r="K192" s="236" t="s">
        <v>25</v>
      </c>
      <c r="L192" s="107"/>
      <c r="M192" s="241" t="s">
        <v>25</v>
      </c>
      <c r="N192" s="242" t="s">
        <v>728</v>
      </c>
      <c r="P192" s="243">
        <f>O192*H192</f>
        <v>0</v>
      </c>
      <c r="Q192" s="243">
        <v>0</v>
      </c>
      <c r="R192" s="243">
        <f>Q192*H192</f>
        <v>0</v>
      </c>
      <c r="S192" s="243">
        <v>0</v>
      </c>
      <c r="T192" s="244">
        <f>S192*H192</f>
        <v>0</v>
      </c>
      <c r="AR192" s="245" t="s">
        <v>806</v>
      </c>
      <c r="AT192" s="245" t="s">
        <v>556</v>
      </c>
      <c r="AU192" s="245" t="s">
        <v>767</v>
      </c>
      <c r="AY192" s="92" t="s">
        <v>800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92" t="s">
        <v>767</v>
      </c>
      <c r="BK192" s="246">
        <f>ROUND(I192*H192,2)</f>
        <v>0</v>
      </c>
      <c r="BL192" s="92" t="s">
        <v>806</v>
      </c>
      <c r="BM192" s="245" t="s">
        <v>1210</v>
      </c>
    </row>
    <row r="193" spans="2:65" s="106" customFormat="1">
      <c r="B193" s="107"/>
      <c r="D193" s="247" t="s">
        <v>808</v>
      </c>
      <c r="F193" s="248" t="s">
        <v>1168</v>
      </c>
      <c r="I193" s="167"/>
      <c r="L193" s="107"/>
      <c r="M193" s="249"/>
      <c r="T193" s="131"/>
      <c r="AT193" s="92" t="s">
        <v>808</v>
      </c>
      <c r="AU193" s="92" t="s">
        <v>767</v>
      </c>
    </row>
    <row r="194" spans="2:65" s="260" customFormat="1">
      <c r="B194" s="261"/>
      <c r="D194" s="247" t="s">
        <v>815</v>
      </c>
      <c r="E194" s="262" t="s">
        <v>25</v>
      </c>
      <c r="F194" s="263" t="s">
        <v>1169</v>
      </c>
      <c r="H194" s="264">
        <v>88.8</v>
      </c>
      <c r="I194" s="265"/>
      <c r="L194" s="261"/>
      <c r="M194" s="266"/>
      <c r="T194" s="267"/>
      <c r="AT194" s="262" t="s">
        <v>815</v>
      </c>
      <c r="AU194" s="262" t="s">
        <v>767</v>
      </c>
      <c r="AV194" s="260" t="s">
        <v>769</v>
      </c>
      <c r="AW194" s="260" t="s">
        <v>720</v>
      </c>
      <c r="AX194" s="260" t="s">
        <v>767</v>
      </c>
      <c r="AY194" s="262" t="s">
        <v>800</v>
      </c>
    </row>
    <row r="195" spans="2:65" s="106" customFormat="1" ht="21.75" customHeight="1">
      <c r="B195" s="107"/>
      <c r="C195" s="234" t="s">
        <v>1211</v>
      </c>
      <c r="D195" s="234" t="s">
        <v>556</v>
      </c>
      <c r="E195" s="235" t="s">
        <v>1172</v>
      </c>
      <c r="F195" s="236" t="s">
        <v>1173</v>
      </c>
      <c r="G195" s="237" t="s">
        <v>617</v>
      </c>
      <c r="H195" s="238">
        <v>88.8</v>
      </c>
      <c r="I195" s="239"/>
      <c r="J195" s="240">
        <f>ROUND(I195*H195,2)</f>
        <v>0</v>
      </c>
      <c r="K195" s="236" t="s">
        <v>947</v>
      </c>
      <c r="L195" s="107"/>
      <c r="M195" s="241" t="s">
        <v>25</v>
      </c>
      <c r="N195" s="242" t="s">
        <v>728</v>
      </c>
      <c r="P195" s="243">
        <f>O195*H195</f>
        <v>0</v>
      </c>
      <c r="Q195" s="243">
        <v>0</v>
      </c>
      <c r="R195" s="243">
        <f>Q195*H195</f>
        <v>0</v>
      </c>
      <c r="S195" s="243">
        <v>0</v>
      </c>
      <c r="T195" s="244">
        <f>S195*H195</f>
        <v>0</v>
      </c>
      <c r="AR195" s="245" t="s">
        <v>806</v>
      </c>
      <c r="AT195" s="245" t="s">
        <v>556</v>
      </c>
      <c r="AU195" s="245" t="s">
        <v>767</v>
      </c>
      <c r="AY195" s="92" t="s">
        <v>800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92" t="s">
        <v>767</v>
      </c>
      <c r="BK195" s="246">
        <f>ROUND(I195*H195,2)</f>
        <v>0</v>
      </c>
      <c r="BL195" s="92" t="s">
        <v>806</v>
      </c>
      <c r="BM195" s="245" t="s">
        <v>1212</v>
      </c>
    </row>
    <row r="196" spans="2:65" s="106" customFormat="1">
      <c r="B196" s="107"/>
      <c r="D196" s="247" t="s">
        <v>808</v>
      </c>
      <c r="F196" s="248" t="s">
        <v>1175</v>
      </c>
      <c r="I196" s="167"/>
      <c r="L196" s="107"/>
      <c r="M196" s="249"/>
      <c r="T196" s="131"/>
      <c r="AT196" s="92" t="s">
        <v>808</v>
      </c>
      <c r="AU196" s="92" t="s">
        <v>767</v>
      </c>
    </row>
    <row r="197" spans="2:65" s="260" customFormat="1">
      <c r="B197" s="261"/>
      <c r="D197" s="247" t="s">
        <v>815</v>
      </c>
      <c r="E197" s="262" t="s">
        <v>25</v>
      </c>
      <c r="F197" s="263" t="s">
        <v>1169</v>
      </c>
      <c r="H197" s="264">
        <v>88.8</v>
      </c>
      <c r="I197" s="265"/>
      <c r="L197" s="261"/>
      <c r="M197" s="266"/>
      <c r="T197" s="267"/>
      <c r="AT197" s="262" t="s">
        <v>815</v>
      </c>
      <c r="AU197" s="262" t="s">
        <v>767</v>
      </c>
      <c r="AV197" s="260" t="s">
        <v>769</v>
      </c>
      <c r="AW197" s="260" t="s">
        <v>720</v>
      </c>
      <c r="AX197" s="260" t="s">
        <v>767</v>
      </c>
      <c r="AY197" s="262" t="s">
        <v>800</v>
      </c>
    </row>
    <row r="198" spans="2:65" s="106" customFormat="1" ht="16.5" customHeight="1">
      <c r="B198" s="107"/>
      <c r="C198" s="234" t="s">
        <v>1079</v>
      </c>
      <c r="D198" s="234" t="s">
        <v>556</v>
      </c>
      <c r="E198" s="235" t="s">
        <v>963</v>
      </c>
      <c r="F198" s="236" t="s">
        <v>1176</v>
      </c>
      <c r="G198" s="237" t="s">
        <v>620</v>
      </c>
      <c r="H198" s="238">
        <v>29.6</v>
      </c>
      <c r="I198" s="239"/>
      <c r="J198" s="240">
        <f>ROUND(I198*H198,2)</f>
        <v>0</v>
      </c>
      <c r="K198" s="236" t="s">
        <v>25</v>
      </c>
      <c r="L198" s="107"/>
      <c r="M198" s="241" t="s">
        <v>25</v>
      </c>
      <c r="N198" s="242" t="s">
        <v>728</v>
      </c>
      <c r="P198" s="243">
        <f>O198*H198</f>
        <v>0</v>
      </c>
      <c r="Q198" s="243">
        <v>0</v>
      </c>
      <c r="R198" s="243">
        <f>Q198*H198</f>
        <v>0</v>
      </c>
      <c r="S198" s="243">
        <v>0</v>
      </c>
      <c r="T198" s="244">
        <f>S198*H198</f>
        <v>0</v>
      </c>
      <c r="AR198" s="245" t="s">
        <v>806</v>
      </c>
      <c r="AT198" s="245" t="s">
        <v>556</v>
      </c>
      <c r="AU198" s="245" t="s">
        <v>767</v>
      </c>
      <c r="AY198" s="92" t="s">
        <v>800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92" t="s">
        <v>767</v>
      </c>
      <c r="BK198" s="246">
        <f>ROUND(I198*H198,2)</f>
        <v>0</v>
      </c>
      <c r="BL198" s="92" t="s">
        <v>806</v>
      </c>
      <c r="BM198" s="245" t="s">
        <v>1213</v>
      </c>
    </row>
    <row r="199" spans="2:65" s="106" customFormat="1">
      <c r="B199" s="107"/>
      <c r="D199" s="247" t="s">
        <v>808</v>
      </c>
      <c r="F199" s="248" t="s">
        <v>1016</v>
      </c>
      <c r="I199" s="167"/>
      <c r="L199" s="107"/>
      <c r="M199" s="249"/>
      <c r="T199" s="131"/>
      <c r="AT199" s="92" t="s">
        <v>808</v>
      </c>
      <c r="AU199" s="92" t="s">
        <v>767</v>
      </c>
    </row>
    <row r="200" spans="2:65" s="260" customFormat="1">
      <c r="B200" s="261"/>
      <c r="D200" s="247" t="s">
        <v>815</v>
      </c>
      <c r="E200" s="262" t="s">
        <v>25</v>
      </c>
      <c r="F200" s="263" t="s">
        <v>1178</v>
      </c>
      <c r="H200" s="264">
        <v>29.6</v>
      </c>
      <c r="I200" s="265"/>
      <c r="L200" s="261"/>
      <c r="M200" s="266"/>
      <c r="T200" s="267"/>
      <c r="AT200" s="262" t="s">
        <v>815</v>
      </c>
      <c r="AU200" s="262" t="s">
        <v>767</v>
      </c>
      <c r="AV200" s="260" t="s">
        <v>769</v>
      </c>
      <c r="AW200" s="260" t="s">
        <v>720</v>
      </c>
      <c r="AX200" s="260" t="s">
        <v>767</v>
      </c>
      <c r="AY200" s="262" t="s">
        <v>800</v>
      </c>
    </row>
    <row r="201" spans="2:65" s="106" customFormat="1" ht="16.5" customHeight="1">
      <c r="B201" s="107"/>
      <c r="C201" s="234" t="s">
        <v>1214</v>
      </c>
      <c r="D201" s="234" t="s">
        <v>556</v>
      </c>
      <c r="E201" s="235" t="s">
        <v>963</v>
      </c>
      <c r="F201" s="236" t="s">
        <v>1176</v>
      </c>
      <c r="G201" s="237" t="s">
        <v>620</v>
      </c>
      <c r="H201" s="238">
        <v>29.6</v>
      </c>
      <c r="I201" s="239"/>
      <c r="J201" s="240">
        <f>ROUND(I201*H201,2)</f>
        <v>0</v>
      </c>
      <c r="K201" s="236" t="s">
        <v>25</v>
      </c>
      <c r="L201" s="107"/>
      <c r="M201" s="241" t="s">
        <v>25</v>
      </c>
      <c r="N201" s="242" t="s">
        <v>728</v>
      </c>
      <c r="P201" s="243">
        <f>O201*H201</f>
        <v>0</v>
      </c>
      <c r="Q201" s="243">
        <v>0</v>
      </c>
      <c r="R201" s="243">
        <f>Q201*H201</f>
        <v>0</v>
      </c>
      <c r="S201" s="243">
        <v>0</v>
      </c>
      <c r="T201" s="244">
        <f>S201*H201</f>
        <v>0</v>
      </c>
      <c r="AR201" s="245" t="s">
        <v>806</v>
      </c>
      <c r="AT201" s="245" t="s">
        <v>556</v>
      </c>
      <c r="AU201" s="245" t="s">
        <v>767</v>
      </c>
      <c r="AY201" s="92" t="s">
        <v>800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92" t="s">
        <v>767</v>
      </c>
      <c r="BK201" s="246">
        <f>ROUND(I201*H201,2)</f>
        <v>0</v>
      </c>
      <c r="BL201" s="92" t="s">
        <v>806</v>
      </c>
      <c r="BM201" s="245" t="s">
        <v>1215</v>
      </c>
    </row>
    <row r="202" spans="2:65" s="106" customFormat="1">
      <c r="B202" s="107"/>
      <c r="D202" s="247" t="s">
        <v>808</v>
      </c>
      <c r="F202" s="248" t="s">
        <v>1016</v>
      </c>
      <c r="I202" s="167"/>
      <c r="L202" s="107"/>
      <c r="M202" s="249"/>
      <c r="T202" s="131"/>
      <c r="AT202" s="92" t="s">
        <v>808</v>
      </c>
      <c r="AU202" s="92" t="s">
        <v>767</v>
      </c>
    </row>
    <row r="203" spans="2:65" s="260" customFormat="1">
      <c r="B203" s="261"/>
      <c r="D203" s="247" t="s">
        <v>815</v>
      </c>
      <c r="E203" s="262" t="s">
        <v>25</v>
      </c>
      <c r="F203" s="263" t="s">
        <v>1178</v>
      </c>
      <c r="H203" s="264">
        <v>29.6</v>
      </c>
      <c r="I203" s="265"/>
      <c r="L203" s="261"/>
      <c r="M203" s="266"/>
      <c r="T203" s="267"/>
      <c r="AT203" s="262" t="s">
        <v>815</v>
      </c>
      <c r="AU203" s="262" t="s">
        <v>767</v>
      </c>
      <c r="AV203" s="260" t="s">
        <v>769</v>
      </c>
      <c r="AW203" s="260" t="s">
        <v>720</v>
      </c>
      <c r="AX203" s="260" t="s">
        <v>767</v>
      </c>
      <c r="AY203" s="262" t="s">
        <v>800</v>
      </c>
    </row>
    <row r="204" spans="2:65" s="106" customFormat="1" ht="16.5" customHeight="1">
      <c r="B204" s="107"/>
      <c r="C204" s="234" t="s">
        <v>1216</v>
      </c>
      <c r="D204" s="234" t="s">
        <v>556</v>
      </c>
      <c r="E204" s="235" t="s">
        <v>963</v>
      </c>
      <c r="F204" s="236" t="s">
        <v>1176</v>
      </c>
      <c r="G204" s="237" t="s">
        <v>620</v>
      </c>
      <c r="H204" s="238">
        <v>29.6</v>
      </c>
      <c r="I204" s="239"/>
      <c r="J204" s="240">
        <f>ROUND(I204*H204,2)</f>
        <v>0</v>
      </c>
      <c r="K204" s="236" t="s">
        <v>25</v>
      </c>
      <c r="L204" s="107"/>
      <c r="M204" s="241" t="s">
        <v>25</v>
      </c>
      <c r="N204" s="242" t="s">
        <v>728</v>
      </c>
      <c r="P204" s="243">
        <f>O204*H204</f>
        <v>0</v>
      </c>
      <c r="Q204" s="243">
        <v>0</v>
      </c>
      <c r="R204" s="243">
        <f>Q204*H204</f>
        <v>0</v>
      </c>
      <c r="S204" s="243">
        <v>0</v>
      </c>
      <c r="T204" s="244">
        <f>S204*H204</f>
        <v>0</v>
      </c>
      <c r="AR204" s="245" t="s">
        <v>806</v>
      </c>
      <c r="AT204" s="245" t="s">
        <v>556</v>
      </c>
      <c r="AU204" s="245" t="s">
        <v>767</v>
      </c>
      <c r="AY204" s="92" t="s">
        <v>800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92" t="s">
        <v>767</v>
      </c>
      <c r="BK204" s="246">
        <f>ROUND(I204*H204,2)</f>
        <v>0</v>
      </c>
      <c r="BL204" s="92" t="s">
        <v>806</v>
      </c>
      <c r="BM204" s="245" t="s">
        <v>1217</v>
      </c>
    </row>
    <row r="205" spans="2:65" s="106" customFormat="1">
      <c r="B205" s="107"/>
      <c r="D205" s="247" t="s">
        <v>808</v>
      </c>
      <c r="F205" s="248" t="s">
        <v>1016</v>
      </c>
      <c r="I205" s="167"/>
      <c r="L205" s="107"/>
      <c r="M205" s="249"/>
      <c r="T205" s="131"/>
      <c r="AT205" s="92" t="s">
        <v>808</v>
      </c>
      <c r="AU205" s="92" t="s">
        <v>767</v>
      </c>
    </row>
    <row r="206" spans="2:65" s="260" customFormat="1">
      <c r="B206" s="261"/>
      <c r="D206" s="247" t="s">
        <v>815</v>
      </c>
      <c r="E206" s="262" t="s">
        <v>25</v>
      </c>
      <c r="F206" s="263" t="s">
        <v>1178</v>
      </c>
      <c r="H206" s="264">
        <v>29.6</v>
      </c>
      <c r="I206" s="265"/>
      <c r="L206" s="261"/>
      <c r="M206" s="266"/>
      <c r="T206" s="267"/>
      <c r="AT206" s="262" t="s">
        <v>815</v>
      </c>
      <c r="AU206" s="262" t="s">
        <v>767</v>
      </c>
      <c r="AV206" s="260" t="s">
        <v>769</v>
      </c>
      <c r="AW206" s="260" t="s">
        <v>720</v>
      </c>
      <c r="AX206" s="260" t="s">
        <v>767</v>
      </c>
      <c r="AY206" s="262" t="s">
        <v>800</v>
      </c>
    </row>
    <row r="207" spans="2:65" s="106" customFormat="1" ht="21.75" customHeight="1">
      <c r="B207" s="107"/>
      <c r="C207" s="234" t="s">
        <v>1097</v>
      </c>
      <c r="D207" s="234" t="s">
        <v>556</v>
      </c>
      <c r="E207" s="235" t="s">
        <v>1109</v>
      </c>
      <c r="F207" s="236" t="s">
        <v>1185</v>
      </c>
      <c r="G207" s="237" t="s">
        <v>617</v>
      </c>
      <c r="H207" s="238">
        <v>173</v>
      </c>
      <c r="I207" s="239"/>
      <c r="J207" s="240">
        <f>ROUND(I207*H207,2)</f>
        <v>0</v>
      </c>
      <c r="K207" s="236" t="s">
        <v>924</v>
      </c>
      <c r="L207" s="107"/>
      <c r="M207" s="241" t="s">
        <v>25</v>
      </c>
      <c r="N207" s="242" t="s">
        <v>728</v>
      </c>
      <c r="P207" s="243">
        <f>O207*H207</f>
        <v>0</v>
      </c>
      <c r="Q207" s="243">
        <v>0</v>
      </c>
      <c r="R207" s="243">
        <f>Q207*H207</f>
        <v>0</v>
      </c>
      <c r="S207" s="243">
        <v>0</v>
      </c>
      <c r="T207" s="244">
        <f>S207*H207</f>
        <v>0</v>
      </c>
      <c r="AR207" s="245" t="s">
        <v>806</v>
      </c>
      <c r="AT207" s="245" t="s">
        <v>556</v>
      </c>
      <c r="AU207" s="245" t="s">
        <v>767</v>
      </c>
      <c r="AY207" s="92" t="s">
        <v>800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92" t="s">
        <v>767</v>
      </c>
      <c r="BK207" s="246">
        <f>ROUND(I207*H207,2)</f>
        <v>0</v>
      </c>
      <c r="BL207" s="92" t="s">
        <v>806</v>
      </c>
      <c r="BM207" s="245" t="s">
        <v>1218</v>
      </c>
    </row>
    <row r="208" spans="2:65" s="106" customFormat="1">
      <c r="B208" s="107"/>
      <c r="D208" s="247" t="s">
        <v>808</v>
      </c>
      <c r="F208" s="248" t="s">
        <v>1112</v>
      </c>
      <c r="I208" s="167"/>
      <c r="L208" s="107"/>
      <c r="M208" s="249"/>
      <c r="T208" s="131"/>
      <c r="AT208" s="92" t="s">
        <v>808</v>
      </c>
      <c r="AU208" s="92" t="s">
        <v>767</v>
      </c>
    </row>
    <row r="209" spans="2:65" s="260" customFormat="1">
      <c r="B209" s="261"/>
      <c r="D209" s="247" t="s">
        <v>815</v>
      </c>
      <c r="E209" s="262" t="s">
        <v>25</v>
      </c>
      <c r="F209" s="263" t="s">
        <v>1187</v>
      </c>
      <c r="H209" s="264">
        <v>173</v>
      </c>
      <c r="I209" s="265"/>
      <c r="L209" s="261"/>
      <c r="M209" s="266"/>
      <c r="T209" s="267"/>
      <c r="AT209" s="262" t="s">
        <v>815</v>
      </c>
      <c r="AU209" s="262" t="s">
        <v>767</v>
      </c>
      <c r="AV209" s="260" t="s">
        <v>769</v>
      </c>
      <c r="AW209" s="260" t="s">
        <v>720</v>
      </c>
      <c r="AX209" s="260" t="s">
        <v>767</v>
      </c>
      <c r="AY209" s="262" t="s">
        <v>800</v>
      </c>
    </row>
    <row r="210" spans="2:65" s="106" customFormat="1" ht="21.75" customHeight="1">
      <c r="B210" s="107"/>
      <c r="C210" s="234" t="s">
        <v>1089</v>
      </c>
      <c r="D210" s="234" t="s">
        <v>556</v>
      </c>
      <c r="E210" s="235" t="s">
        <v>1109</v>
      </c>
      <c r="F210" s="236" t="s">
        <v>1185</v>
      </c>
      <c r="G210" s="237" t="s">
        <v>617</v>
      </c>
      <c r="H210" s="238">
        <v>173</v>
      </c>
      <c r="I210" s="239"/>
      <c r="J210" s="240">
        <f>ROUND(I210*H210,2)</f>
        <v>0</v>
      </c>
      <c r="K210" s="236" t="s">
        <v>924</v>
      </c>
      <c r="L210" s="107"/>
      <c r="M210" s="241" t="s">
        <v>25</v>
      </c>
      <c r="N210" s="242" t="s">
        <v>728</v>
      </c>
      <c r="P210" s="243">
        <f>O210*H210</f>
        <v>0</v>
      </c>
      <c r="Q210" s="243">
        <v>0</v>
      </c>
      <c r="R210" s="243">
        <f>Q210*H210</f>
        <v>0</v>
      </c>
      <c r="S210" s="243">
        <v>0</v>
      </c>
      <c r="T210" s="244">
        <f>S210*H210</f>
        <v>0</v>
      </c>
      <c r="AR210" s="245" t="s">
        <v>806</v>
      </c>
      <c r="AT210" s="245" t="s">
        <v>556</v>
      </c>
      <c r="AU210" s="245" t="s">
        <v>767</v>
      </c>
      <c r="AY210" s="92" t="s">
        <v>800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92" t="s">
        <v>767</v>
      </c>
      <c r="BK210" s="246">
        <f>ROUND(I210*H210,2)</f>
        <v>0</v>
      </c>
      <c r="BL210" s="92" t="s">
        <v>806</v>
      </c>
      <c r="BM210" s="245" t="s">
        <v>1219</v>
      </c>
    </row>
    <row r="211" spans="2:65" s="106" customFormat="1">
      <c r="B211" s="107"/>
      <c r="D211" s="247" t="s">
        <v>808</v>
      </c>
      <c r="F211" s="248" t="s">
        <v>1112</v>
      </c>
      <c r="I211" s="167"/>
      <c r="L211" s="107"/>
      <c r="M211" s="249"/>
      <c r="T211" s="131"/>
      <c r="AT211" s="92" t="s">
        <v>808</v>
      </c>
      <c r="AU211" s="92" t="s">
        <v>767</v>
      </c>
    </row>
    <row r="212" spans="2:65" s="106" customFormat="1" ht="21.75" customHeight="1">
      <c r="B212" s="107"/>
      <c r="C212" s="234" t="s">
        <v>1056</v>
      </c>
      <c r="D212" s="234" t="s">
        <v>556</v>
      </c>
      <c r="E212" s="235" t="s">
        <v>1109</v>
      </c>
      <c r="F212" s="236" t="s">
        <v>1185</v>
      </c>
      <c r="G212" s="237" t="s">
        <v>617</v>
      </c>
      <c r="H212" s="238">
        <v>173</v>
      </c>
      <c r="I212" s="239"/>
      <c r="J212" s="240">
        <f>ROUND(I212*H212,2)</f>
        <v>0</v>
      </c>
      <c r="K212" s="236" t="s">
        <v>924</v>
      </c>
      <c r="L212" s="107"/>
      <c r="M212" s="241" t="s">
        <v>25</v>
      </c>
      <c r="N212" s="242" t="s">
        <v>728</v>
      </c>
      <c r="P212" s="243">
        <f>O212*H212</f>
        <v>0</v>
      </c>
      <c r="Q212" s="243">
        <v>0</v>
      </c>
      <c r="R212" s="243">
        <f>Q212*H212</f>
        <v>0</v>
      </c>
      <c r="S212" s="243">
        <v>0</v>
      </c>
      <c r="T212" s="244">
        <f>S212*H212</f>
        <v>0</v>
      </c>
      <c r="AR212" s="245" t="s">
        <v>806</v>
      </c>
      <c r="AT212" s="245" t="s">
        <v>556</v>
      </c>
      <c r="AU212" s="245" t="s">
        <v>767</v>
      </c>
      <c r="AY212" s="92" t="s">
        <v>800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92" t="s">
        <v>767</v>
      </c>
      <c r="BK212" s="246">
        <f>ROUND(I212*H212,2)</f>
        <v>0</v>
      </c>
      <c r="BL212" s="92" t="s">
        <v>806</v>
      </c>
      <c r="BM212" s="245" t="s">
        <v>1220</v>
      </c>
    </row>
    <row r="213" spans="2:65" s="106" customFormat="1">
      <c r="B213" s="107"/>
      <c r="D213" s="247" t="s">
        <v>808</v>
      </c>
      <c r="F213" s="248" t="s">
        <v>1112</v>
      </c>
      <c r="I213" s="167"/>
      <c r="L213" s="107"/>
      <c r="M213" s="249"/>
      <c r="T213" s="131"/>
      <c r="AT213" s="92" t="s">
        <v>808</v>
      </c>
      <c r="AU213" s="92" t="s">
        <v>767</v>
      </c>
    </row>
    <row r="214" spans="2:65" s="106" customFormat="1" ht="21.75" customHeight="1">
      <c r="B214" s="107"/>
      <c r="C214" s="234" t="s">
        <v>1058</v>
      </c>
      <c r="D214" s="234" t="s">
        <v>556</v>
      </c>
      <c r="E214" s="235" t="s">
        <v>1109</v>
      </c>
      <c r="F214" s="236" t="s">
        <v>1185</v>
      </c>
      <c r="G214" s="237" t="s">
        <v>617</v>
      </c>
      <c r="H214" s="238">
        <v>173</v>
      </c>
      <c r="I214" s="239"/>
      <c r="J214" s="240">
        <f>ROUND(I214*H214,2)</f>
        <v>0</v>
      </c>
      <c r="K214" s="236" t="s">
        <v>924</v>
      </c>
      <c r="L214" s="107"/>
      <c r="M214" s="241" t="s">
        <v>25</v>
      </c>
      <c r="N214" s="242" t="s">
        <v>728</v>
      </c>
      <c r="P214" s="243">
        <f>O214*H214</f>
        <v>0</v>
      </c>
      <c r="Q214" s="243">
        <v>0</v>
      </c>
      <c r="R214" s="243">
        <f>Q214*H214</f>
        <v>0</v>
      </c>
      <c r="S214" s="243">
        <v>0</v>
      </c>
      <c r="T214" s="244">
        <f>S214*H214</f>
        <v>0</v>
      </c>
      <c r="AR214" s="245" t="s">
        <v>806</v>
      </c>
      <c r="AT214" s="245" t="s">
        <v>556</v>
      </c>
      <c r="AU214" s="245" t="s">
        <v>767</v>
      </c>
      <c r="AY214" s="92" t="s">
        <v>800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92" t="s">
        <v>767</v>
      </c>
      <c r="BK214" s="246">
        <f>ROUND(I214*H214,2)</f>
        <v>0</v>
      </c>
      <c r="BL214" s="92" t="s">
        <v>806</v>
      </c>
      <c r="BM214" s="245" t="s">
        <v>1221</v>
      </c>
    </row>
    <row r="215" spans="2:65" s="106" customFormat="1">
      <c r="B215" s="107"/>
      <c r="D215" s="247" t="s">
        <v>808</v>
      </c>
      <c r="F215" s="248" t="s">
        <v>1112</v>
      </c>
      <c r="I215" s="167"/>
      <c r="L215" s="107"/>
      <c r="M215" s="249"/>
      <c r="T215" s="131"/>
      <c r="AT215" s="92" t="s">
        <v>808</v>
      </c>
      <c r="AU215" s="92" t="s">
        <v>767</v>
      </c>
    </row>
    <row r="216" spans="2:65" s="106" customFormat="1" ht="21.75" customHeight="1">
      <c r="B216" s="107"/>
      <c r="C216" s="234" t="s">
        <v>1018</v>
      </c>
      <c r="D216" s="234" t="s">
        <v>556</v>
      </c>
      <c r="E216" s="235" t="s">
        <v>1109</v>
      </c>
      <c r="F216" s="236" t="s">
        <v>1185</v>
      </c>
      <c r="G216" s="237" t="s">
        <v>617</v>
      </c>
      <c r="H216" s="238">
        <v>173</v>
      </c>
      <c r="I216" s="239"/>
      <c r="J216" s="240">
        <f>ROUND(I216*H216,2)</f>
        <v>0</v>
      </c>
      <c r="K216" s="236" t="s">
        <v>924</v>
      </c>
      <c r="L216" s="107"/>
      <c r="M216" s="241" t="s">
        <v>25</v>
      </c>
      <c r="N216" s="242" t="s">
        <v>728</v>
      </c>
      <c r="P216" s="243">
        <f>O216*H216</f>
        <v>0</v>
      </c>
      <c r="Q216" s="243">
        <v>0</v>
      </c>
      <c r="R216" s="243">
        <f>Q216*H216</f>
        <v>0</v>
      </c>
      <c r="S216" s="243">
        <v>0</v>
      </c>
      <c r="T216" s="244">
        <f>S216*H216</f>
        <v>0</v>
      </c>
      <c r="AR216" s="245" t="s">
        <v>806</v>
      </c>
      <c r="AT216" s="245" t="s">
        <v>556</v>
      </c>
      <c r="AU216" s="245" t="s">
        <v>767</v>
      </c>
      <c r="AY216" s="92" t="s">
        <v>800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92" t="s">
        <v>767</v>
      </c>
      <c r="BK216" s="246">
        <f>ROUND(I216*H216,2)</f>
        <v>0</v>
      </c>
      <c r="BL216" s="92" t="s">
        <v>806</v>
      </c>
      <c r="BM216" s="245" t="s">
        <v>1222</v>
      </c>
    </row>
    <row r="217" spans="2:65" s="106" customFormat="1">
      <c r="B217" s="107"/>
      <c r="D217" s="247" t="s">
        <v>808</v>
      </c>
      <c r="F217" s="248" t="s">
        <v>1112</v>
      </c>
      <c r="I217" s="167"/>
      <c r="L217" s="107"/>
      <c r="M217" s="249"/>
      <c r="T217" s="131"/>
      <c r="AT217" s="92" t="s">
        <v>808</v>
      </c>
      <c r="AU217" s="92" t="s">
        <v>767</v>
      </c>
    </row>
    <row r="218" spans="2:65" s="106" customFormat="1" ht="21.75" customHeight="1">
      <c r="B218" s="107"/>
      <c r="C218" s="234" t="s">
        <v>1020</v>
      </c>
      <c r="D218" s="234" t="s">
        <v>556</v>
      </c>
      <c r="E218" s="235" t="s">
        <v>1109</v>
      </c>
      <c r="F218" s="236" t="s">
        <v>1185</v>
      </c>
      <c r="G218" s="237" t="s">
        <v>617</v>
      </c>
      <c r="H218" s="238">
        <v>173</v>
      </c>
      <c r="I218" s="239"/>
      <c r="J218" s="240">
        <f>ROUND(I218*H218,2)</f>
        <v>0</v>
      </c>
      <c r="K218" s="236" t="s">
        <v>924</v>
      </c>
      <c r="L218" s="107"/>
      <c r="M218" s="241" t="s">
        <v>25</v>
      </c>
      <c r="N218" s="242" t="s">
        <v>728</v>
      </c>
      <c r="P218" s="243">
        <f>O218*H218</f>
        <v>0</v>
      </c>
      <c r="Q218" s="243">
        <v>0</v>
      </c>
      <c r="R218" s="243">
        <f>Q218*H218</f>
        <v>0</v>
      </c>
      <c r="S218" s="243">
        <v>0</v>
      </c>
      <c r="T218" s="244">
        <f>S218*H218</f>
        <v>0</v>
      </c>
      <c r="AR218" s="245" t="s">
        <v>806</v>
      </c>
      <c r="AT218" s="245" t="s">
        <v>556</v>
      </c>
      <c r="AU218" s="245" t="s">
        <v>767</v>
      </c>
      <c r="AY218" s="92" t="s">
        <v>800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92" t="s">
        <v>767</v>
      </c>
      <c r="BK218" s="246">
        <f>ROUND(I218*H218,2)</f>
        <v>0</v>
      </c>
      <c r="BL218" s="92" t="s">
        <v>806</v>
      </c>
      <c r="BM218" s="245" t="s">
        <v>1223</v>
      </c>
    </row>
    <row r="219" spans="2:65" s="106" customFormat="1">
      <c r="B219" s="107"/>
      <c r="D219" s="247" t="s">
        <v>808</v>
      </c>
      <c r="F219" s="248" t="s">
        <v>1112</v>
      </c>
      <c r="I219" s="167"/>
      <c r="L219" s="107"/>
      <c r="M219" s="249"/>
      <c r="T219" s="131"/>
      <c r="AT219" s="92" t="s">
        <v>808</v>
      </c>
      <c r="AU219" s="92" t="s">
        <v>767</v>
      </c>
    </row>
    <row r="220" spans="2:65" s="106" customFormat="1" ht="21.75" customHeight="1">
      <c r="B220" s="107"/>
      <c r="C220" s="234" t="s">
        <v>1108</v>
      </c>
      <c r="D220" s="234" t="s">
        <v>556</v>
      </c>
      <c r="E220" s="235" t="s">
        <v>1109</v>
      </c>
      <c r="F220" s="236" t="s">
        <v>1185</v>
      </c>
      <c r="G220" s="237" t="s">
        <v>617</v>
      </c>
      <c r="H220" s="238">
        <v>173</v>
      </c>
      <c r="I220" s="239"/>
      <c r="J220" s="240">
        <f>ROUND(I220*H220,2)</f>
        <v>0</v>
      </c>
      <c r="K220" s="236" t="s">
        <v>924</v>
      </c>
      <c r="L220" s="107"/>
      <c r="M220" s="241" t="s">
        <v>25</v>
      </c>
      <c r="N220" s="242" t="s">
        <v>728</v>
      </c>
      <c r="P220" s="243">
        <f>O220*H220</f>
        <v>0</v>
      </c>
      <c r="Q220" s="243">
        <v>0</v>
      </c>
      <c r="R220" s="243">
        <f>Q220*H220</f>
        <v>0</v>
      </c>
      <c r="S220" s="243">
        <v>0</v>
      </c>
      <c r="T220" s="244">
        <f>S220*H220</f>
        <v>0</v>
      </c>
      <c r="AR220" s="245" t="s">
        <v>806</v>
      </c>
      <c r="AT220" s="245" t="s">
        <v>556</v>
      </c>
      <c r="AU220" s="245" t="s">
        <v>767</v>
      </c>
      <c r="AY220" s="92" t="s">
        <v>800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92" t="s">
        <v>767</v>
      </c>
      <c r="BK220" s="246">
        <f>ROUND(I220*H220,2)</f>
        <v>0</v>
      </c>
      <c r="BL220" s="92" t="s">
        <v>806</v>
      </c>
      <c r="BM220" s="245" t="s">
        <v>1224</v>
      </c>
    </row>
    <row r="221" spans="2:65" s="106" customFormat="1">
      <c r="B221" s="107"/>
      <c r="D221" s="247" t="s">
        <v>808</v>
      </c>
      <c r="F221" s="248" t="s">
        <v>1112</v>
      </c>
      <c r="I221" s="167"/>
      <c r="L221" s="107"/>
      <c r="M221" s="249"/>
      <c r="T221" s="131"/>
      <c r="AT221" s="92" t="s">
        <v>808</v>
      </c>
      <c r="AU221" s="92" t="s">
        <v>767</v>
      </c>
    </row>
    <row r="222" spans="2:65" s="106" customFormat="1" ht="21.75" customHeight="1">
      <c r="B222" s="107"/>
      <c r="C222" s="234" t="s">
        <v>1225</v>
      </c>
      <c r="D222" s="234" t="s">
        <v>556</v>
      </c>
      <c r="E222" s="235" t="s">
        <v>1194</v>
      </c>
      <c r="F222" s="236" t="s">
        <v>1195</v>
      </c>
      <c r="G222" s="237" t="s">
        <v>617</v>
      </c>
      <c r="H222" s="238">
        <v>173</v>
      </c>
      <c r="I222" s="239"/>
      <c r="J222" s="240">
        <f>ROUND(I222*H222,2)</f>
        <v>0</v>
      </c>
      <c r="K222" s="236" t="s">
        <v>947</v>
      </c>
      <c r="L222" s="107"/>
      <c r="M222" s="241" t="s">
        <v>25</v>
      </c>
      <c r="N222" s="242" t="s">
        <v>728</v>
      </c>
      <c r="P222" s="243">
        <f>O222*H222</f>
        <v>0</v>
      </c>
      <c r="Q222" s="243">
        <v>0</v>
      </c>
      <c r="R222" s="243">
        <f>Q222*H222</f>
        <v>0</v>
      </c>
      <c r="S222" s="243">
        <v>0</v>
      </c>
      <c r="T222" s="244">
        <f>S222*H222</f>
        <v>0</v>
      </c>
      <c r="AR222" s="245" t="s">
        <v>806</v>
      </c>
      <c r="AT222" s="245" t="s">
        <v>556</v>
      </c>
      <c r="AU222" s="245" t="s">
        <v>767</v>
      </c>
      <c r="AY222" s="92" t="s">
        <v>800</v>
      </c>
      <c r="BE222" s="246">
        <f>IF(N222="základní",J222,0)</f>
        <v>0</v>
      </c>
      <c r="BF222" s="246">
        <f>IF(N222="snížená",J222,0)</f>
        <v>0</v>
      </c>
      <c r="BG222" s="246">
        <f>IF(N222="zákl. přenesená",J222,0)</f>
        <v>0</v>
      </c>
      <c r="BH222" s="246">
        <f>IF(N222="sníž. přenesená",J222,0)</f>
        <v>0</v>
      </c>
      <c r="BI222" s="246">
        <f>IF(N222="nulová",J222,0)</f>
        <v>0</v>
      </c>
      <c r="BJ222" s="92" t="s">
        <v>767</v>
      </c>
      <c r="BK222" s="246">
        <f>ROUND(I222*H222,2)</f>
        <v>0</v>
      </c>
      <c r="BL222" s="92" t="s">
        <v>806</v>
      </c>
      <c r="BM222" s="245" t="s">
        <v>1226</v>
      </c>
    </row>
    <row r="223" spans="2:65" s="106" customFormat="1" ht="19.5">
      <c r="B223" s="107"/>
      <c r="D223" s="247" t="s">
        <v>808</v>
      </c>
      <c r="F223" s="248" t="s">
        <v>1197</v>
      </c>
      <c r="I223" s="167"/>
      <c r="L223" s="107"/>
      <c r="M223" s="249"/>
      <c r="T223" s="131"/>
      <c r="AT223" s="92" t="s">
        <v>808</v>
      </c>
      <c r="AU223" s="92" t="s">
        <v>767</v>
      </c>
    </row>
    <row r="224" spans="2:65" s="106" customFormat="1" ht="21.75" customHeight="1">
      <c r="B224" s="107"/>
      <c r="C224" s="234" t="s">
        <v>1227</v>
      </c>
      <c r="D224" s="234" t="s">
        <v>556</v>
      </c>
      <c r="E224" s="235" t="s">
        <v>1198</v>
      </c>
      <c r="F224" s="236" t="s">
        <v>1199</v>
      </c>
      <c r="G224" s="237" t="s">
        <v>617</v>
      </c>
      <c r="H224" s="238">
        <v>173</v>
      </c>
      <c r="I224" s="239"/>
      <c r="J224" s="240">
        <f>ROUND(I224*H224,2)</f>
        <v>0</v>
      </c>
      <c r="K224" s="236" t="s">
        <v>25</v>
      </c>
      <c r="L224" s="107"/>
      <c r="M224" s="241" t="s">
        <v>25</v>
      </c>
      <c r="N224" s="242" t="s">
        <v>728</v>
      </c>
      <c r="P224" s="243">
        <f>O224*H224</f>
        <v>0</v>
      </c>
      <c r="Q224" s="243">
        <v>0</v>
      </c>
      <c r="R224" s="243">
        <f>Q224*H224</f>
        <v>0</v>
      </c>
      <c r="S224" s="243">
        <v>0</v>
      </c>
      <c r="T224" s="244">
        <f>S224*H224</f>
        <v>0</v>
      </c>
      <c r="AR224" s="245" t="s">
        <v>806</v>
      </c>
      <c r="AT224" s="245" t="s">
        <v>556</v>
      </c>
      <c r="AU224" s="245" t="s">
        <v>767</v>
      </c>
      <c r="AY224" s="92" t="s">
        <v>800</v>
      </c>
      <c r="BE224" s="246">
        <f>IF(N224="základní",J224,0)</f>
        <v>0</v>
      </c>
      <c r="BF224" s="246">
        <f>IF(N224="snížená",J224,0)</f>
        <v>0</v>
      </c>
      <c r="BG224" s="246">
        <f>IF(N224="zákl. přenesená",J224,0)</f>
        <v>0</v>
      </c>
      <c r="BH224" s="246">
        <f>IF(N224="sníž. přenesená",J224,0)</f>
        <v>0</v>
      </c>
      <c r="BI224" s="246">
        <f>IF(N224="nulová",J224,0)</f>
        <v>0</v>
      </c>
      <c r="BJ224" s="92" t="s">
        <v>767</v>
      </c>
      <c r="BK224" s="246">
        <f>ROUND(I224*H224,2)</f>
        <v>0</v>
      </c>
      <c r="BL224" s="92" t="s">
        <v>806</v>
      </c>
      <c r="BM224" s="245" t="s">
        <v>1228</v>
      </c>
    </row>
    <row r="225" spans="2:65" s="106" customFormat="1">
      <c r="B225" s="107"/>
      <c r="D225" s="247" t="s">
        <v>808</v>
      </c>
      <c r="F225" s="248" t="s">
        <v>1201</v>
      </c>
      <c r="I225" s="167"/>
      <c r="L225" s="107"/>
      <c r="M225" s="249"/>
      <c r="T225" s="131"/>
      <c r="AT225" s="92" t="s">
        <v>808</v>
      </c>
      <c r="AU225" s="92" t="s">
        <v>767</v>
      </c>
    </row>
    <row r="226" spans="2:65" s="221" customFormat="1" ht="25.9" customHeight="1">
      <c r="B226" s="222"/>
      <c r="D226" s="223" t="s">
        <v>549</v>
      </c>
      <c r="E226" s="224" t="s">
        <v>1229</v>
      </c>
      <c r="F226" s="224" t="s">
        <v>1230</v>
      </c>
      <c r="I226" s="225"/>
      <c r="J226" s="226">
        <f>BK226</f>
        <v>0</v>
      </c>
      <c r="L226" s="222"/>
      <c r="M226" s="227"/>
      <c r="P226" s="228">
        <f>SUM(P227:P272)</f>
        <v>0</v>
      </c>
      <c r="R226" s="228">
        <f>SUM(R227:R272)</f>
        <v>0</v>
      </c>
      <c r="T226" s="229">
        <f>SUM(T227:T272)</f>
        <v>0</v>
      </c>
      <c r="AR226" s="223" t="s">
        <v>767</v>
      </c>
      <c r="AT226" s="230" t="s">
        <v>549</v>
      </c>
      <c r="AU226" s="230" t="s">
        <v>760</v>
      </c>
      <c r="AY226" s="223" t="s">
        <v>800</v>
      </c>
      <c r="BK226" s="231">
        <f>SUM(BK227:BK272)</f>
        <v>0</v>
      </c>
    </row>
    <row r="227" spans="2:65" s="106" customFormat="1" ht="16.5" customHeight="1">
      <c r="B227" s="107"/>
      <c r="C227" s="234" t="s">
        <v>1231</v>
      </c>
      <c r="D227" s="234" t="s">
        <v>556</v>
      </c>
      <c r="E227" s="235" t="s">
        <v>1232</v>
      </c>
      <c r="F227" s="236" t="s">
        <v>1233</v>
      </c>
      <c r="G227" s="237" t="s">
        <v>559</v>
      </c>
      <c r="H227" s="238">
        <v>3</v>
      </c>
      <c r="I227" s="239"/>
      <c r="J227" s="240">
        <f>ROUND(I227*H227,2)</f>
        <v>0</v>
      </c>
      <c r="K227" s="236" t="s">
        <v>25</v>
      </c>
      <c r="L227" s="107"/>
      <c r="M227" s="241" t="s">
        <v>25</v>
      </c>
      <c r="N227" s="242" t="s">
        <v>728</v>
      </c>
      <c r="P227" s="243">
        <f>O227*H227</f>
        <v>0</v>
      </c>
      <c r="Q227" s="243">
        <v>0</v>
      </c>
      <c r="R227" s="243">
        <f>Q227*H227</f>
        <v>0</v>
      </c>
      <c r="S227" s="243">
        <v>0</v>
      </c>
      <c r="T227" s="244">
        <f>S227*H227</f>
        <v>0</v>
      </c>
      <c r="AR227" s="245" t="s">
        <v>806</v>
      </c>
      <c r="AT227" s="245" t="s">
        <v>556</v>
      </c>
      <c r="AU227" s="245" t="s">
        <v>767</v>
      </c>
      <c r="AY227" s="92" t="s">
        <v>800</v>
      </c>
      <c r="BE227" s="246">
        <f>IF(N227="základní",J227,0)</f>
        <v>0</v>
      </c>
      <c r="BF227" s="246">
        <f>IF(N227="snížená",J227,0)</f>
        <v>0</v>
      </c>
      <c r="BG227" s="246">
        <f>IF(N227="zákl. přenesená",J227,0)</f>
        <v>0</v>
      </c>
      <c r="BH227" s="246">
        <f>IF(N227="sníž. přenesená",J227,0)</f>
        <v>0</v>
      </c>
      <c r="BI227" s="246">
        <f>IF(N227="nulová",J227,0)</f>
        <v>0</v>
      </c>
      <c r="BJ227" s="92" t="s">
        <v>767</v>
      </c>
      <c r="BK227" s="246">
        <f>ROUND(I227*H227,2)</f>
        <v>0</v>
      </c>
      <c r="BL227" s="92" t="s">
        <v>806</v>
      </c>
      <c r="BM227" s="245" t="s">
        <v>1234</v>
      </c>
    </row>
    <row r="228" spans="2:65" s="106" customFormat="1">
      <c r="B228" s="107"/>
      <c r="D228" s="247" t="s">
        <v>808</v>
      </c>
      <c r="F228" s="248" t="s">
        <v>1235</v>
      </c>
      <c r="I228" s="167"/>
      <c r="L228" s="107"/>
      <c r="M228" s="249"/>
      <c r="T228" s="131"/>
      <c r="AT228" s="92" t="s">
        <v>808</v>
      </c>
      <c r="AU228" s="92" t="s">
        <v>767</v>
      </c>
    </row>
    <row r="229" spans="2:65" s="106" customFormat="1" ht="16.5" customHeight="1">
      <c r="B229" s="107"/>
      <c r="C229" s="234" t="s">
        <v>1236</v>
      </c>
      <c r="D229" s="234" t="s">
        <v>556</v>
      </c>
      <c r="E229" s="235" t="s">
        <v>1237</v>
      </c>
      <c r="F229" s="236" t="s">
        <v>1238</v>
      </c>
      <c r="G229" s="237" t="s">
        <v>559</v>
      </c>
      <c r="H229" s="238">
        <v>3</v>
      </c>
      <c r="I229" s="239"/>
      <c r="J229" s="240">
        <f>ROUND(I229*H229,2)</f>
        <v>0</v>
      </c>
      <c r="K229" s="236" t="s">
        <v>805</v>
      </c>
      <c r="L229" s="107"/>
      <c r="M229" s="241" t="s">
        <v>25</v>
      </c>
      <c r="N229" s="242" t="s">
        <v>728</v>
      </c>
      <c r="P229" s="243">
        <f>O229*H229</f>
        <v>0</v>
      </c>
      <c r="Q229" s="243">
        <v>0</v>
      </c>
      <c r="R229" s="243">
        <f>Q229*H229</f>
        <v>0</v>
      </c>
      <c r="S229" s="243">
        <v>0</v>
      </c>
      <c r="T229" s="244">
        <f>S229*H229</f>
        <v>0</v>
      </c>
      <c r="AR229" s="245" t="s">
        <v>806</v>
      </c>
      <c r="AT229" s="245" t="s">
        <v>556</v>
      </c>
      <c r="AU229" s="245" t="s">
        <v>767</v>
      </c>
      <c r="AY229" s="92" t="s">
        <v>800</v>
      </c>
      <c r="BE229" s="246">
        <f>IF(N229="základní",J229,0)</f>
        <v>0</v>
      </c>
      <c r="BF229" s="246">
        <f>IF(N229="snížená",J229,0)</f>
        <v>0</v>
      </c>
      <c r="BG229" s="246">
        <f>IF(N229="zákl. přenesená",J229,0)</f>
        <v>0</v>
      </c>
      <c r="BH229" s="246">
        <f>IF(N229="sníž. přenesená",J229,0)</f>
        <v>0</v>
      </c>
      <c r="BI229" s="246">
        <f>IF(N229="nulová",J229,0)</f>
        <v>0</v>
      </c>
      <c r="BJ229" s="92" t="s">
        <v>767</v>
      </c>
      <c r="BK229" s="246">
        <f>ROUND(I229*H229,2)</f>
        <v>0</v>
      </c>
      <c r="BL229" s="92" t="s">
        <v>806</v>
      </c>
      <c r="BM229" s="245" t="s">
        <v>1239</v>
      </c>
    </row>
    <row r="230" spans="2:65" s="106" customFormat="1">
      <c r="B230" s="107"/>
      <c r="D230" s="247" t="s">
        <v>808</v>
      </c>
      <c r="F230" s="248" t="s">
        <v>1240</v>
      </c>
      <c r="I230" s="167"/>
      <c r="L230" s="107"/>
      <c r="M230" s="249"/>
      <c r="T230" s="131"/>
      <c r="AT230" s="92" t="s">
        <v>808</v>
      </c>
      <c r="AU230" s="92" t="s">
        <v>767</v>
      </c>
    </row>
    <row r="231" spans="2:65" s="106" customFormat="1" ht="16.5" customHeight="1">
      <c r="B231" s="107"/>
      <c r="C231" s="234" t="s">
        <v>1241</v>
      </c>
      <c r="D231" s="234" t="s">
        <v>556</v>
      </c>
      <c r="E231" s="235" t="s">
        <v>1159</v>
      </c>
      <c r="F231" s="236" t="s">
        <v>1160</v>
      </c>
      <c r="G231" s="237" t="s">
        <v>901</v>
      </c>
      <c r="H231" s="238">
        <v>35</v>
      </c>
      <c r="I231" s="239"/>
      <c r="J231" s="240">
        <f>ROUND(I231*H231,2)</f>
        <v>0</v>
      </c>
      <c r="K231" s="236" t="s">
        <v>25</v>
      </c>
      <c r="L231" s="107"/>
      <c r="M231" s="241" t="s">
        <v>25</v>
      </c>
      <c r="N231" s="242" t="s">
        <v>728</v>
      </c>
      <c r="P231" s="243">
        <f>O231*H231</f>
        <v>0</v>
      </c>
      <c r="Q231" s="243">
        <v>0</v>
      </c>
      <c r="R231" s="243">
        <f>Q231*H231</f>
        <v>0</v>
      </c>
      <c r="S231" s="243">
        <v>0</v>
      </c>
      <c r="T231" s="244">
        <f>S231*H231</f>
        <v>0</v>
      </c>
      <c r="AR231" s="245" t="s">
        <v>806</v>
      </c>
      <c r="AT231" s="245" t="s">
        <v>556</v>
      </c>
      <c r="AU231" s="245" t="s">
        <v>767</v>
      </c>
      <c r="AY231" s="92" t="s">
        <v>800</v>
      </c>
      <c r="BE231" s="246">
        <f>IF(N231="základní",J231,0)</f>
        <v>0</v>
      </c>
      <c r="BF231" s="246">
        <f>IF(N231="snížená",J231,0)</f>
        <v>0</v>
      </c>
      <c r="BG231" s="246">
        <f>IF(N231="zákl. přenesená",J231,0)</f>
        <v>0</v>
      </c>
      <c r="BH231" s="246">
        <f>IF(N231="sníž. přenesená",J231,0)</f>
        <v>0</v>
      </c>
      <c r="BI231" s="246">
        <f>IF(N231="nulová",J231,0)</f>
        <v>0</v>
      </c>
      <c r="BJ231" s="92" t="s">
        <v>767</v>
      </c>
      <c r="BK231" s="246">
        <f>ROUND(I231*H231,2)</f>
        <v>0</v>
      </c>
      <c r="BL231" s="92" t="s">
        <v>806</v>
      </c>
      <c r="BM231" s="245" t="s">
        <v>1242</v>
      </c>
    </row>
    <row r="232" spans="2:65" s="106" customFormat="1">
      <c r="B232" s="107"/>
      <c r="D232" s="247" t="s">
        <v>808</v>
      </c>
      <c r="F232" s="248" t="s">
        <v>1162</v>
      </c>
      <c r="I232" s="167"/>
      <c r="L232" s="107"/>
      <c r="M232" s="249"/>
      <c r="T232" s="131"/>
      <c r="AT232" s="92" t="s">
        <v>808</v>
      </c>
      <c r="AU232" s="92" t="s">
        <v>767</v>
      </c>
    </row>
    <row r="233" spans="2:65" s="106" customFormat="1" ht="21.75" customHeight="1">
      <c r="B233" s="107"/>
      <c r="C233" s="234" t="s">
        <v>1243</v>
      </c>
      <c r="D233" s="234" t="s">
        <v>556</v>
      </c>
      <c r="E233" s="235" t="s">
        <v>1165</v>
      </c>
      <c r="F233" s="236" t="s">
        <v>1166</v>
      </c>
      <c r="G233" s="237" t="s">
        <v>617</v>
      </c>
      <c r="H233" s="238">
        <v>88.8</v>
      </c>
      <c r="I233" s="239"/>
      <c r="J233" s="240">
        <f>ROUND(I233*H233,2)</f>
        <v>0</v>
      </c>
      <c r="K233" s="236" t="s">
        <v>25</v>
      </c>
      <c r="L233" s="107"/>
      <c r="M233" s="241" t="s">
        <v>25</v>
      </c>
      <c r="N233" s="242" t="s">
        <v>728</v>
      </c>
      <c r="P233" s="243">
        <f>O233*H233</f>
        <v>0</v>
      </c>
      <c r="Q233" s="243">
        <v>0</v>
      </c>
      <c r="R233" s="243">
        <f>Q233*H233</f>
        <v>0</v>
      </c>
      <c r="S233" s="243">
        <v>0</v>
      </c>
      <c r="T233" s="244">
        <f>S233*H233</f>
        <v>0</v>
      </c>
      <c r="AR233" s="245" t="s">
        <v>806</v>
      </c>
      <c r="AT233" s="245" t="s">
        <v>556</v>
      </c>
      <c r="AU233" s="245" t="s">
        <v>767</v>
      </c>
      <c r="AY233" s="92" t="s">
        <v>800</v>
      </c>
      <c r="BE233" s="246">
        <f>IF(N233="základní",J233,0)</f>
        <v>0</v>
      </c>
      <c r="BF233" s="246">
        <f>IF(N233="snížená",J233,0)</f>
        <v>0</v>
      </c>
      <c r="BG233" s="246">
        <f>IF(N233="zákl. přenesená",J233,0)</f>
        <v>0</v>
      </c>
      <c r="BH233" s="246">
        <f>IF(N233="sníž. přenesená",J233,0)</f>
        <v>0</v>
      </c>
      <c r="BI233" s="246">
        <f>IF(N233="nulová",J233,0)</f>
        <v>0</v>
      </c>
      <c r="BJ233" s="92" t="s">
        <v>767</v>
      </c>
      <c r="BK233" s="246">
        <f>ROUND(I233*H233,2)</f>
        <v>0</v>
      </c>
      <c r="BL233" s="92" t="s">
        <v>806</v>
      </c>
      <c r="BM233" s="245" t="s">
        <v>1244</v>
      </c>
    </row>
    <row r="234" spans="2:65" s="106" customFormat="1">
      <c r="B234" s="107"/>
      <c r="D234" s="247" t="s">
        <v>808</v>
      </c>
      <c r="F234" s="248" t="s">
        <v>1168</v>
      </c>
      <c r="I234" s="167"/>
      <c r="L234" s="107"/>
      <c r="M234" s="249"/>
      <c r="T234" s="131"/>
      <c r="AT234" s="92" t="s">
        <v>808</v>
      </c>
      <c r="AU234" s="92" t="s">
        <v>767</v>
      </c>
    </row>
    <row r="235" spans="2:65" s="260" customFormat="1">
      <c r="B235" s="261"/>
      <c r="D235" s="247" t="s">
        <v>815</v>
      </c>
      <c r="E235" s="262" t="s">
        <v>25</v>
      </c>
      <c r="F235" s="263" t="s">
        <v>1169</v>
      </c>
      <c r="H235" s="264">
        <v>88.8</v>
      </c>
      <c r="I235" s="265"/>
      <c r="L235" s="261"/>
      <c r="M235" s="266"/>
      <c r="T235" s="267"/>
      <c r="AT235" s="262" t="s">
        <v>815</v>
      </c>
      <c r="AU235" s="262" t="s">
        <v>767</v>
      </c>
      <c r="AV235" s="260" t="s">
        <v>769</v>
      </c>
      <c r="AW235" s="260" t="s">
        <v>720</v>
      </c>
      <c r="AX235" s="260" t="s">
        <v>767</v>
      </c>
      <c r="AY235" s="262" t="s">
        <v>800</v>
      </c>
    </row>
    <row r="236" spans="2:65" s="106" customFormat="1" ht="21.75" customHeight="1">
      <c r="B236" s="107"/>
      <c r="C236" s="234" t="s">
        <v>1245</v>
      </c>
      <c r="D236" s="234" t="s">
        <v>556</v>
      </c>
      <c r="E236" s="235" t="s">
        <v>1165</v>
      </c>
      <c r="F236" s="236" t="s">
        <v>1166</v>
      </c>
      <c r="G236" s="237" t="s">
        <v>617</v>
      </c>
      <c r="H236" s="238">
        <v>88.8</v>
      </c>
      <c r="I236" s="239"/>
      <c r="J236" s="240">
        <f>ROUND(I236*H236,2)</f>
        <v>0</v>
      </c>
      <c r="K236" s="236" t="s">
        <v>25</v>
      </c>
      <c r="L236" s="107"/>
      <c r="M236" s="241" t="s">
        <v>25</v>
      </c>
      <c r="N236" s="242" t="s">
        <v>728</v>
      </c>
      <c r="P236" s="243">
        <f>O236*H236</f>
        <v>0</v>
      </c>
      <c r="Q236" s="243">
        <v>0</v>
      </c>
      <c r="R236" s="243">
        <f>Q236*H236</f>
        <v>0</v>
      </c>
      <c r="S236" s="243">
        <v>0</v>
      </c>
      <c r="T236" s="244">
        <f>S236*H236</f>
        <v>0</v>
      </c>
      <c r="AR236" s="245" t="s">
        <v>806</v>
      </c>
      <c r="AT236" s="245" t="s">
        <v>556</v>
      </c>
      <c r="AU236" s="245" t="s">
        <v>767</v>
      </c>
      <c r="AY236" s="92" t="s">
        <v>800</v>
      </c>
      <c r="BE236" s="246">
        <f>IF(N236="základní",J236,0)</f>
        <v>0</v>
      </c>
      <c r="BF236" s="246">
        <f>IF(N236="snížená",J236,0)</f>
        <v>0</v>
      </c>
      <c r="BG236" s="246">
        <f>IF(N236="zákl. přenesená",J236,0)</f>
        <v>0</v>
      </c>
      <c r="BH236" s="246">
        <f>IF(N236="sníž. přenesená",J236,0)</f>
        <v>0</v>
      </c>
      <c r="BI236" s="246">
        <f>IF(N236="nulová",J236,0)</f>
        <v>0</v>
      </c>
      <c r="BJ236" s="92" t="s">
        <v>767</v>
      </c>
      <c r="BK236" s="246">
        <f>ROUND(I236*H236,2)</f>
        <v>0</v>
      </c>
      <c r="BL236" s="92" t="s">
        <v>806</v>
      </c>
      <c r="BM236" s="245" t="s">
        <v>1246</v>
      </c>
    </row>
    <row r="237" spans="2:65" s="106" customFormat="1">
      <c r="B237" s="107"/>
      <c r="D237" s="247" t="s">
        <v>808</v>
      </c>
      <c r="F237" s="248" t="s">
        <v>1168</v>
      </c>
      <c r="I237" s="167"/>
      <c r="L237" s="107"/>
      <c r="M237" s="249"/>
      <c r="T237" s="131"/>
      <c r="AT237" s="92" t="s">
        <v>808</v>
      </c>
      <c r="AU237" s="92" t="s">
        <v>767</v>
      </c>
    </row>
    <row r="238" spans="2:65" s="260" customFormat="1">
      <c r="B238" s="261"/>
      <c r="D238" s="247" t="s">
        <v>815</v>
      </c>
      <c r="E238" s="262" t="s">
        <v>25</v>
      </c>
      <c r="F238" s="263" t="s">
        <v>1169</v>
      </c>
      <c r="H238" s="264">
        <v>88.8</v>
      </c>
      <c r="I238" s="265"/>
      <c r="L238" s="261"/>
      <c r="M238" s="266"/>
      <c r="T238" s="267"/>
      <c r="AT238" s="262" t="s">
        <v>815</v>
      </c>
      <c r="AU238" s="262" t="s">
        <v>767</v>
      </c>
      <c r="AV238" s="260" t="s">
        <v>769</v>
      </c>
      <c r="AW238" s="260" t="s">
        <v>720</v>
      </c>
      <c r="AX238" s="260" t="s">
        <v>767</v>
      </c>
      <c r="AY238" s="262" t="s">
        <v>800</v>
      </c>
    </row>
    <row r="239" spans="2:65" s="106" customFormat="1" ht="21.75" customHeight="1">
      <c r="B239" s="107"/>
      <c r="C239" s="234" t="s">
        <v>1247</v>
      </c>
      <c r="D239" s="234" t="s">
        <v>556</v>
      </c>
      <c r="E239" s="235" t="s">
        <v>1165</v>
      </c>
      <c r="F239" s="236" t="s">
        <v>1166</v>
      </c>
      <c r="G239" s="237" t="s">
        <v>617</v>
      </c>
      <c r="H239" s="238">
        <v>88.8</v>
      </c>
      <c r="I239" s="239"/>
      <c r="J239" s="240">
        <f>ROUND(I239*H239,2)</f>
        <v>0</v>
      </c>
      <c r="K239" s="236" t="s">
        <v>25</v>
      </c>
      <c r="L239" s="107"/>
      <c r="M239" s="241" t="s">
        <v>25</v>
      </c>
      <c r="N239" s="242" t="s">
        <v>728</v>
      </c>
      <c r="P239" s="243">
        <f>O239*H239</f>
        <v>0</v>
      </c>
      <c r="Q239" s="243">
        <v>0</v>
      </c>
      <c r="R239" s="243">
        <f>Q239*H239</f>
        <v>0</v>
      </c>
      <c r="S239" s="243">
        <v>0</v>
      </c>
      <c r="T239" s="244">
        <f>S239*H239</f>
        <v>0</v>
      </c>
      <c r="AR239" s="245" t="s">
        <v>806</v>
      </c>
      <c r="AT239" s="245" t="s">
        <v>556</v>
      </c>
      <c r="AU239" s="245" t="s">
        <v>767</v>
      </c>
      <c r="AY239" s="92" t="s">
        <v>800</v>
      </c>
      <c r="BE239" s="246">
        <f>IF(N239="základní",J239,0)</f>
        <v>0</v>
      </c>
      <c r="BF239" s="246">
        <f>IF(N239="snížená",J239,0)</f>
        <v>0</v>
      </c>
      <c r="BG239" s="246">
        <f>IF(N239="zákl. přenesená",J239,0)</f>
        <v>0</v>
      </c>
      <c r="BH239" s="246">
        <f>IF(N239="sníž. přenesená",J239,0)</f>
        <v>0</v>
      </c>
      <c r="BI239" s="246">
        <f>IF(N239="nulová",J239,0)</f>
        <v>0</v>
      </c>
      <c r="BJ239" s="92" t="s">
        <v>767</v>
      </c>
      <c r="BK239" s="246">
        <f>ROUND(I239*H239,2)</f>
        <v>0</v>
      </c>
      <c r="BL239" s="92" t="s">
        <v>806</v>
      </c>
      <c r="BM239" s="245" t="s">
        <v>1248</v>
      </c>
    </row>
    <row r="240" spans="2:65" s="106" customFormat="1">
      <c r="B240" s="107"/>
      <c r="D240" s="247" t="s">
        <v>808</v>
      </c>
      <c r="F240" s="248" t="s">
        <v>1168</v>
      </c>
      <c r="I240" s="167"/>
      <c r="L240" s="107"/>
      <c r="M240" s="249"/>
      <c r="T240" s="131"/>
      <c r="AT240" s="92" t="s">
        <v>808</v>
      </c>
      <c r="AU240" s="92" t="s">
        <v>767</v>
      </c>
    </row>
    <row r="241" spans="2:65" s="260" customFormat="1">
      <c r="B241" s="261"/>
      <c r="D241" s="247" t="s">
        <v>815</v>
      </c>
      <c r="E241" s="262" t="s">
        <v>25</v>
      </c>
      <c r="F241" s="263" t="s">
        <v>1169</v>
      </c>
      <c r="H241" s="264">
        <v>88.8</v>
      </c>
      <c r="I241" s="265"/>
      <c r="L241" s="261"/>
      <c r="M241" s="266"/>
      <c r="T241" s="267"/>
      <c r="AT241" s="262" t="s">
        <v>815</v>
      </c>
      <c r="AU241" s="262" t="s">
        <v>767</v>
      </c>
      <c r="AV241" s="260" t="s">
        <v>769</v>
      </c>
      <c r="AW241" s="260" t="s">
        <v>720</v>
      </c>
      <c r="AX241" s="260" t="s">
        <v>767</v>
      </c>
      <c r="AY241" s="262" t="s">
        <v>800</v>
      </c>
    </row>
    <row r="242" spans="2:65" s="106" customFormat="1" ht="21.75" customHeight="1">
      <c r="B242" s="107"/>
      <c r="C242" s="234" t="s">
        <v>1249</v>
      </c>
      <c r="D242" s="234" t="s">
        <v>556</v>
      </c>
      <c r="E242" s="235" t="s">
        <v>1172</v>
      </c>
      <c r="F242" s="236" t="s">
        <v>1173</v>
      </c>
      <c r="G242" s="237" t="s">
        <v>617</v>
      </c>
      <c r="H242" s="238">
        <v>88.8</v>
      </c>
      <c r="I242" s="239"/>
      <c r="J242" s="240">
        <f>ROUND(I242*H242,2)</f>
        <v>0</v>
      </c>
      <c r="K242" s="236" t="s">
        <v>947</v>
      </c>
      <c r="L242" s="107"/>
      <c r="M242" s="241" t="s">
        <v>25</v>
      </c>
      <c r="N242" s="242" t="s">
        <v>728</v>
      </c>
      <c r="P242" s="243">
        <f>O242*H242</f>
        <v>0</v>
      </c>
      <c r="Q242" s="243">
        <v>0</v>
      </c>
      <c r="R242" s="243">
        <f>Q242*H242</f>
        <v>0</v>
      </c>
      <c r="S242" s="243">
        <v>0</v>
      </c>
      <c r="T242" s="244">
        <f>S242*H242</f>
        <v>0</v>
      </c>
      <c r="AR242" s="245" t="s">
        <v>806</v>
      </c>
      <c r="AT242" s="245" t="s">
        <v>556</v>
      </c>
      <c r="AU242" s="245" t="s">
        <v>767</v>
      </c>
      <c r="AY242" s="92" t="s">
        <v>800</v>
      </c>
      <c r="BE242" s="246">
        <f>IF(N242="základní",J242,0)</f>
        <v>0</v>
      </c>
      <c r="BF242" s="246">
        <f>IF(N242="snížená",J242,0)</f>
        <v>0</v>
      </c>
      <c r="BG242" s="246">
        <f>IF(N242="zákl. přenesená",J242,0)</f>
        <v>0</v>
      </c>
      <c r="BH242" s="246">
        <f>IF(N242="sníž. přenesená",J242,0)</f>
        <v>0</v>
      </c>
      <c r="BI242" s="246">
        <f>IF(N242="nulová",J242,0)</f>
        <v>0</v>
      </c>
      <c r="BJ242" s="92" t="s">
        <v>767</v>
      </c>
      <c r="BK242" s="246">
        <f>ROUND(I242*H242,2)</f>
        <v>0</v>
      </c>
      <c r="BL242" s="92" t="s">
        <v>806</v>
      </c>
      <c r="BM242" s="245" t="s">
        <v>1250</v>
      </c>
    </row>
    <row r="243" spans="2:65" s="106" customFormat="1">
      <c r="B243" s="107"/>
      <c r="D243" s="247" t="s">
        <v>808</v>
      </c>
      <c r="F243" s="248" t="s">
        <v>1175</v>
      </c>
      <c r="I243" s="167"/>
      <c r="L243" s="107"/>
      <c r="M243" s="249"/>
      <c r="T243" s="131"/>
      <c r="AT243" s="92" t="s">
        <v>808</v>
      </c>
      <c r="AU243" s="92" t="s">
        <v>767</v>
      </c>
    </row>
    <row r="244" spans="2:65" s="260" customFormat="1">
      <c r="B244" s="261"/>
      <c r="D244" s="247" t="s">
        <v>815</v>
      </c>
      <c r="E244" s="262" t="s">
        <v>25</v>
      </c>
      <c r="F244" s="263" t="s">
        <v>1169</v>
      </c>
      <c r="H244" s="264">
        <v>88.8</v>
      </c>
      <c r="I244" s="265"/>
      <c r="L244" s="261"/>
      <c r="M244" s="266"/>
      <c r="T244" s="267"/>
      <c r="AT244" s="262" t="s">
        <v>815</v>
      </c>
      <c r="AU244" s="262" t="s">
        <v>767</v>
      </c>
      <c r="AV244" s="260" t="s">
        <v>769</v>
      </c>
      <c r="AW244" s="260" t="s">
        <v>720</v>
      </c>
      <c r="AX244" s="260" t="s">
        <v>767</v>
      </c>
      <c r="AY244" s="262" t="s">
        <v>800</v>
      </c>
    </row>
    <row r="245" spans="2:65" s="106" customFormat="1" ht="16.5" customHeight="1">
      <c r="B245" s="107"/>
      <c r="C245" s="234" t="s">
        <v>1251</v>
      </c>
      <c r="D245" s="234" t="s">
        <v>556</v>
      </c>
      <c r="E245" s="235" t="s">
        <v>963</v>
      </c>
      <c r="F245" s="236" t="s">
        <v>1176</v>
      </c>
      <c r="G245" s="237" t="s">
        <v>620</v>
      </c>
      <c r="H245" s="238">
        <v>29.6</v>
      </c>
      <c r="I245" s="239"/>
      <c r="J245" s="240">
        <f>ROUND(I245*H245,2)</f>
        <v>0</v>
      </c>
      <c r="K245" s="236" t="s">
        <v>25</v>
      </c>
      <c r="L245" s="107"/>
      <c r="M245" s="241" t="s">
        <v>25</v>
      </c>
      <c r="N245" s="242" t="s">
        <v>728</v>
      </c>
      <c r="P245" s="243">
        <f>O245*H245</f>
        <v>0</v>
      </c>
      <c r="Q245" s="243">
        <v>0</v>
      </c>
      <c r="R245" s="243">
        <f>Q245*H245</f>
        <v>0</v>
      </c>
      <c r="S245" s="243">
        <v>0</v>
      </c>
      <c r="T245" s="244">
        <f>S245*H245</f>
        <v>0</v>
      </c>
      <c r="AR245" s="245" t="s">
        <v>806</v>
      </c>
      <c r="AT245" s="245" t="s">
        <v>556</v>
      </c>
      <c r="AU245" s="245" t="s">
        <v>767</v>
      </c>
      <c r="AY245" s="92" t="s">
        <v>800</v>
      </c>
      <c r="BE245" s="246">
        <f>IF(N245="základní",J245,0)</f>
        <v>0</v>
      </c>
      <c r="BF245" s="246">
        <f>IF(N245="snížená",J245,0)</f>
        <v>0</v>
      </c>
      <c r="BG245" s="246">
        <f>IF(N245="zákl. přenesená",J245,0)</f>
        <v>0</v>
      </c>
      <c r="BH245" s="246">
        <f>IF(N245="sníž. přenesená",J245,0)</f>
        <v>0</v>
      </c>
      <c r="BI245" s="246">
        <f>IF(N245="nulová",J245,0)</f>
        <v>0</v>
      </c>
      <c r="BJ245" s="92" t="s">
        <v>767</v>
      </c>
      <c r="BK245" s="246">
        <f>ROUND(I245*H245,2)</f>
        <v>0</v>
      </c>
      <c r="BL245" s="92" t="s">
        <v>806</v>
      </c>
      <c r="BM245" s="245" t="s">
        <v>1252</v>
      </c>
    </row>
    <row r="246" spans="2:65" s="106" customFormat="1">
      <c r="B246" s="107"/>
      <c r="D246" s="247" t="s">
        <v>808</v>
      </c>
      <c r="F246" s="248" t="s">
        <v>1016</v>
      </c>
      <c r="I246" s="167"/>
      <c r="L246" s="107"/>
      <c r="M246" s="249"/>
      <c r="T246" s="131"/>
      <c r="AT246" s="92" t="s">
        <v>808</v>
      </c>
      <c r="AU246" s="92" t="s">
        <v>767</v>
      </c>
    </row>
    <row r="247" spans="2:65" s="260" customFormat="1">
      <c r="B247" s="261"/>
      <c r="D247" s="247" t="s">
        <v>815</v>
      </c>
      <c r="E247" s="262" t="s">
        <v>25</v>
      </c>
      <c r="F247" s="263" t="s">
        <v>1178</v>
      </c>
      <c r="H247" s="264">
        <v>29.6</v>
      </c>
      <c r="I247" s="265"/>
      <c r="L247" s="261"/>
      <c r="M247" s="266"/>
      <c r="T247" s="267"/>
      <c r="AT247" s="262" t="s">
        <v>815</v>
      </c>
      <c r="AU247" s="262" t="s">
        <v>767</v>
      </c>
      <c r="AV247" s="260" t="s">
        <v>769</v>
      </c>
      <c r="AW247" s="260" t="s">
        <v>720</v>
      </c>
      <c r="AX247" s="260" t="s">
        <v>767</v>
      </c>
      <c r="AY247" s="262" t="s">
        <v>800</v>
      </c>
    </row>
    <row r="248" spans="2:65" s="106" customFormat="1" ht="16.5" customHeight="1">
      <c r="B248" s="107"/>
      <c r="C248" s="234" t="s">
        <v>1253</v>
      </c>
      <c r="D248" s="234" t="s">
        <v>556</v>
      </c>
      <c r="E248" s="235" t="s">
        <v>963</v>
      </c>
      <c r="F248" s="236" t="s">
        <v>1176</v>
      </c>
      <c r="G248" s="237" t="s">
        <v>620</v>
      </c>
      <c r="H248" s="238">
        <v>29.6</v>
      </c>
      <c r="I248" s="239"/>
      <c r="J248" s="240">
        <f>ROUND(I248*H248,2)</f>
        <v>0</v>
      </c>
      <c r="K248" s="236" t="s">
        <v>25</v>
      </c>
      <c r="L248" s="107"/>
      <c r="M248" s="241" t="s">
        <v>25</v>
      </c>
      <c r="N248" s="242" t="s">
        <v>728</v>
      </c>
      <c r="P248" s="243">
        <f>O248*H248</f>
        <v>0</v>
      </c>
      <c r="Q248" s="243">
        <v>0</v>
      </c>
      <c r="R248" s="243">
        <f>Q248*H248</f>
        <v>0</v>
      </c>
      <c r="S248" s="243">
        <v>0</v>
      </c>
      <c r="T248" s="244">
        <f>S248*H248</f>
        <v>0</v>
      </c>
      <c r="AR248" s="245" t="s">
        <v>806</v>
      </c>
      <c r="AT248" s="245" t="s">
        <v>556</v>
      </c>
      <c r="AU248" s="245" t="s">
        <v>767</v>
      </c>
      <c r="AY248" s="92" t="s">
        <v>800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92" t="s">
        <v>767</v>
      </c>
      <c r="BK248" s="246">
        <f>ROUND(I248*H248,2)</f>
        <v>0</v>
      </c>
      <c r="BL248" s="92" t="s">
        <v>806</v>
      </c>
      <c r="BM248" s="245" t="s">
        <v>1254</v>
      </c>
    </row>
    <row r="249" spans="2:65" s="106" customFormat="1">
      <c r="B249" s="107"/>
      <c r="D249" s="247" t="s">
        <v>808</v>
      </c>
      <c r="F249" s="248" t="s">
        <v>1016</v>
      </c>
      <c r="I249" s="167"/>
      <c r="L249" s="107"/>
      <c r="M249" s="249"/>
      <c r="T249" s="131"/>
      <c r="AT249" s="92" t="s">
        <v>808</v>
      </c>
      <c r="AU249" s="92" t="s">
        <v>767</v>
      </c>
    </row>
    <row r="250" spans="2:65" s="260" customFormat="1">
      <c r="B250" s="261"/>
      <c r="D250" s="247" t="s">
        <v>815</v>
      </c>
      <c r="E250" s="262" t="s">
        <v>25</v>
      </c>
      <c r="F250" s="263" t="s">
        <v>1178</v>
      </c>
      <c r="H250" s="264">
        <v>29.6</v>
      </c>
      <c r="I250" s="265"/>
      <c r="L250" s="261"/>
      <c r="M250" s="266"/>
      <c r="T250" s="267"/>
      <c r="AT250" s="262" t="s">
        <v>815</v>
      </c>
      <c r="AU250" s="262" t="s">
        <v>767</v>
      </c>
      <c r="AV250" s="260" t="s">
        <v>769</v>
      </c>
      <c r="AW250" s="260" t="s">
        <v>720</v>
      </c>
      <c r="AX250" s="260" t="s">
        <v>767</v>
      </c>
      <c r="AY250" s="262" t="s">
        <v>800</v>
      </c>
    </row>
    <row r="251" spans="2:65" s="106" customFormat="1" ht="16.5" customHeight="1">
      <c r="B251" s="107"/>
      <c r="C251" s="234" t="s">
        <v>1255</v>
      </c>
      <c r="D251" s="234" t="s">
        <v>556</v>
      </c>
      <c r="E251" s="235" t="s">
        <v>963</v>
      </c>
      <c r="F251" s="236" t="s">
        <v>1176</v>
      </c>
      <c r="G251" s="237" t="s">
        <v>620</v>
      </c>
      <c r="H251" s="238">
        <v>29.6</v>
      </c>
      <c r="I251" s="239"/>
      <c r="J251" s="240">
        <f>ROUND(I251*H251,2)</f>
        <v>0</v>
      </c>
      <c r="K251" s="236" t="s">
        <v>25</v>
      </c>
      <c r="L251" s="107"/>
      <c r="M251" s="241" t="s">
        <v>25</v>
      </c>
      <c r="N251" s="242" t="s">
        <v>728</v>
      </c>
      <c r="P251" s="243">
        <f>O251*H251</f>
        <v>0</v>
      </c>
      <c r="Q251" s="243">
        <v>0</v>
      </c>
      <c r="R251" s="243">
        <f>Q251*H251</f>
        <v>0</v>
      </c>
      <c r="S251" s="243">
        <v>0</v>
      </c>
      <c r="T251" s="244">
        <f>S251*H251</f>
        <v>0</v>
      </c>
      <c r="AR251" s="245" t="s">
        <v>806</v>
      </c>
      <c r="AT251" s="245" t="s">
        <v>556</v>
      </c>
      <c r="AU251" s="245" t="s">
        <v>767</v>
      </c>
      <c r="AY251" s="92" t="s">
        <v>800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92" t="s">
        <v>767</v>
      </c>
      <c r="BK251" s="246">
        <f>ROUND(I251*H251,2)</f>
        <v>0</v>
      </c>
      <c r="BL251" s="92" t="s">
        <v>806</v>
      </c>
      <c r="BM251" s="245" t="s">
        <v>1256</v>
      </c>
    </row>
    <row r="252" spans="2:65" s="106" customFormat="1">
      <c r="B252" s="107"/>
      <c r="D252" s="247" t="s">
        <v>808</v>
      </c>
      <c r="F252" s="248" t="s">
        <v>1016</v>
      </c>
      <c r="I252" s="167"/>
      <c r="L252" s="107"/>
      <c r="M252" s="249"/>
      <c r="T252" s="131"/>
      <c r="AT252" s="92" t="s">
        <v>808</v>
      </c>
      <c r="AU252" s="92" t="s">
        <v>767</v>
      </c>
    </row>
    <row r="253" spans="2:65" s="260" customFormat="1">
      <c r="B253" s="261"/>
      <c r="D253" s="247" t="s">
        <v>815</v>
      </c>
      <c r="E253" s="262" t="s">
        <v>25</v>
      </c>
      <c r="F253" s="263" t="s">
        <v>1178</v>
      </c>
      <c r="H253" s="264">
        <v>29.6</v>
      </c>
      <c r="I253" s="265"/>
      <c r="L253" s="261"/>
      <c r="M253" s="266"/>
      <c r="T253" s="267"/>
      <c r="AT253" s="262" t="s">
        <v>815</v>
      </c>
      <c r="AU253" s="262" t="s">
        <v>767</v>
      </c>
      <c r="AV253" s="260" t="s">
        <v>769</v>
      </c>
      <c r="AW253" s="260" t="s">
        <v>720</v>
      </c>
      <c r="AX253" s="260" t="s">
        <v>767</v>
      </c>
      <c r="AY253" s="262" t="s">
        <v>800</v>
      </c>
    </row>
    <row r="254" spans="2:65" s="106" customFormat="1" ht="21.75" customHeight="1">
      <c r="B254" s="107"/>
      <c r="C254" s="234" t="s">
        <v>1257</v>
      </c>
      <c r="D254" s="234" t="s">
        <v>556</v>
      </c>
      <c r="E254" s="235" t="s">
        <v>1109</v>
      </c>
      <c r="F254" s="236" t="s">
        <v>1185</v>
      </c>
      <c r="G254" s="237" t="s">
        <v>617</v>
      </c>
      <c r="H254" s="238">
        <v>173</v>
      </c>
      <c r="I254" s="239"/>
      <c r="J254" s="240">
        <f>ROUND(I254*H254,2)</f>
        <v>0</v>
      </c>
      <c r="K254" s="236" t="s">
        <v>924</v>
      </c>
      <c r="L254" s="107"/>
      <c r="M254" s="241" t="s">
        <v>25</v>
      </c>
      <c r="N254" s="242" t="s">
        <v>728</v>
      </c>
      <c r="P254" s="243">
        <f>O254*H254</f>
        <v>0</v>
      </c>
      <c r="Q254" s="243">
        <v>0</v>
      </c>
      <c r="R254" s="243">
        <f>Q254*H254</f>
        <v>0</v>
      </c>
      <c r="S254" s="243">
        <v>0</v>
      </c>
      <c r="T254" s="244">
        <f>S254*H254</f>
        <v>0</v>
      </c>
      <c r="AR254" s="245" t="s">
        <v>806</v>
      </c>
      <c r="AT254" s="245" t="s">
        <v>556</v>
      </c>
      <c r="AU254" s="245" t="s">
        <v>767</v>
      </c>
      <c r="AY254" s="92" t="s">
        <v>800</v>
      </c>
      <c r="BE254" s="246">
        <f>IF(N254="základní",J254,0)</f>
        <v>0</v>
      </c>
      <c r="BF254" s="246">
        <f>IF(N254="snížená",J254,0)</f>
        <v>0</v>
      </c>
      <c r="BG254" s="246">
        <f>IF(N254="zákl. přenesená",J254,0)</f>
        <v>0</v>
      </c>
      <c r="BH254" s="246">
        <f>IF(N254="sníž. přenesená",J254,0)</f>
        <v>0</v>
      </c>
      <c r="BI254" s="246">
        <f>IF(N254="nulová",J254,0)</f>
        <v>0</v>
      </c>
      <c r="BJ254" s="92" t="s">
        <v>767</v>
      </c>
      <c r="BK254" s="246">
        <f>ROUND(I254*H254,2)</f>
        <v>0</v>
      </c>
      <c r="BL254" s="92" t="s">
        <v>806</v>
      </c>
      <c r="BM254" s="245" t="s">
        <v>1258</v>
      </c>
    </row>
    <row r="255" spans="2:65" s="106" customFormat="1">
      <c r="B255" s="107"/>
      <c r="D255" s="247" t="s">
        <v>808</v>
      </c>
      <c r="F255" s="248" t="s">
        <v>1112</v>
      </c>
      <c r="I255" s="167"/>
      <c r="L255" s="107"/>
      <c r="M255" s="249"/>
      <c r="T255" s="131"/>
      <c r="AT255" s="92" t="s">
        <v>808</v>
      </c>
      <c r="AU255" s="92" t="s">
        <v>767</v>
      </c>
    </row>
    <row r="256" spans="2:65" s="260" customFormat="1">
      <c r="B256" s="261"/>
      <c r="D256" s="247" t="s">
        <v>815</v>
      </c>
      <c r="E256" s="262" t="s">
        <v>25</v>
      </c>
      <c r="F256" s="263" t="s">
        <v>1187</v>
      </c>
      <c r="H256" s="264">
        <v>173</v>
      </c>
      <c r="I256" s="265"/>
      <c r="L256" s="261"/>
      <c r="M256" s="266"/>
      <c r="T256" s="267"/>
      <c r="AT256" s="262" t="s">
        <v>815</v>
      </c>
      <c r="AU256" s="262" t="s">
        <v>767</v>
      </c>
      <c r="AV256" s="260" t="s">
        <v>769</v>
      </c>
      <c r="AW256" s="260" t="s">
        <v>720</v>
      </c>
      <c r="AX256" s="260" t="s">
        <v>767</v>
      </c>
      <c r="AY256" s="262" t="s">
        <v>800</v>
      </c>
    </row>
    <row r="257" spans="2:65" s="106" customFormat="1" ht="21.75" customHeight="1">
      <c r="B257" s="107"/>
      <c r="C257" s="234" t="s">
        <v>1259</v>
      </c>
      <c r="D257" s="234" t="s">
        <v>556</v>
      </c>
      <c r="E257" s="235" t="s">
        <v>1109</v>
      </c>
      <c r="F257" s="236" t="s">
        <v>1185</v>
      </c>
      <c r="G257" s="237" t="s">
        <v>617</v>
      </c>
      <c r="H257" s="238">
        <v>173</v>
      </c>
      <c r="I257" s="239"/>
      <c r="J257" s="240">
        <f>ROUND(I257*H257,2)</f>
        <v>0</v>
      </c>
      <c r="K257" s="236" t="s">
        <v>924</v>
      </c>
      <c r="L257" s="107"/>
      <c r="M257" s="241" t="s">
        <v>25</v>
      </c>
      <c r="N257" s="242" t="s">
        <v>728</v>
      </c>
      <c r="P257" s="243">
        <f>O257*H257</f>
        <v>0</v>
      </c>
      <c r="Q257" s="243">
        <v>0</v>
      </c>
      <c r="R257" s="243">
        <f>Q257*H257</f>
        <v>0</v>
      </c>
      <c r="S257" s="243">
        <v>0</v>
      </c>
      <c r="T257" s="244">
        <f>S257*H257</f>
        <v>0</v>
      </c>
      <c r="AR257" s="245" t="s">
        <v>806</v>
      </c>
      <c r="AT257" s="245" t="s">
        <v>556</v>
      </c>
      <c r="AU257" s="245" t="s">
        <v>767</v>
      </c>
      <c r="AY257" s="92" t="s">
        <v>800</v>
      </c>
      <c r="BE257" s="246">
        <f>IF(N257="základní",J257,0)</f>
        <v>0</v>
      </c>
      <c r="BF257" s="246">
        <f>IF(N257="snížená",J257,0)</f>
        <v>0</v>
      </c>
      <c r="BG257" s="246">
        <f>IF(N257="zákl. přenesená",J257,0)</f>
        <v>0</v>
      </c>
      <c r="BH257" s="246">
        <f>IF(N257="sníž. přenesená",J257,0)</f>
        <v>0</v>
      </c>
      <c r="BI257" s="246">
        <f>IF(N257="nulová",J257,0)</f>
        <v>0</v>
      </c>
      <c r="BJ257" s="92" t="s">
        <v>767</v>
      </c>
      <c r="BK257" s="246">
        <f>ROUND(I257*H257,2)</f>
        <v>0</v>
      </c>
      <c r="BL257" s="92" t="s">
        <v>806</v>
      </c>
      <c r="BM257" s="245" t="s">
        <v>1260</v>
      </c>
    </row>
    <row r="258" spans="2:65" s="106" customFormat="1">
      <c r="B258" s="107"/>
      <c r="D258" s="247" t="s">
        <v>808</v>
      </c>
      <c r="F258" s="248" t="s">
        <v>1112</v>
      </c>
      <c r="I258" s="167"/>
      <c r="L258" s="107"/>
      <c r="M258" s="249"/>
      <c r="T258" s="131"/>
      <c r="AT258" s="92" t="s">
        <v>808</v>
      </c>
      <c r="AU258" s="92" t="s">
        <v>767</v>
      </c>
    </row>
    <row r="259" spans="2:65" s="106" customFormat="1" ht="21.75" customHeight="1">
      <c r="B259" s="107"/>
      <c r="C259" s="234" t="s">
        <v>1261</v>
      </c>
      <c r="D259" s="234" t="s">
        <v>556</v>
      </c>
      <c r="E259" s="235" t="s">
        <v>1109</v>
      </c>
      <c r="F259" s="236" t="s">
        <v>1185</v>
      </c>
      <c r="G259" s="237" t="s">
        <v>617</v>
      </c>
      <c r="H259" s="238">
        <v>173</v>
      </c>
      <c r="I259" s="239"/>
      <c r="J259" s="240">
        <f>ROUND(I259*H259,2)</f>
        <v>0</v>
      </c>
      <c r="K259" s="236" t="s">
        <v>924</v>
      </c>
      <c r="L259" s="107"/>
      <c r="M259" s="241" t="s">
        <v>25</v>
      </c>
      <c r="N259" s="242" t="s">
        <v>728</v>
      </c>
      <c r="P259" s="243">
        <f>O259*H259</f>
        <v>0</v>
      </c>
      <c r="Q259" s="243">
        <v>0</v>
      </c>
      <c r="R259" s="243">
        <f>Q259*H259</f>
        <v>0</v>
      </c>
      <c r="S259" s="243">
        <v>0</v>
      </c>
      <c r="T259" s="244">
        <f>S259*H259</f>
        <v>0</v>
      </c>
      <c r="AR259" s="245" t="s">
        <v>806</v>
      </c>
      <c r="AT259" s="245" t="s">
        <v>556</v>
      </c>
      <c r="AU259" s="245" t="s">
        <v>767</v>
      </c>
      <c r="AY259" s="92" t="s">
        <v>800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92" t="s">
        <v>767</v>
      </c>
      <c r="BK259" s="246">
        <f>ROUND(I259*H259,2)</f>
        <v>0</v>
      </c>
      <c r="BL259" s="92" t="s">
        <v>806</v>
      </c>
      <c r="BM259" s="245" t="s">
        <v>1262</v>
      </c>
    </row>
    <row r="260" spans="2:65" s="106" customFormat="1">
      <c r="B260" s="107"/>
      <c r="D260" s="247" t="s">
        <v>808</v>
      </c>
      <c r="F260" s="248" t="s">
        <v>1112</v>
      </c>
      <c r="I260" s="167"/>
      <c r="L260" s="107"/>
      <c r="M260" s="249"/>
      <c r="T260" s="131"/>
      <c r="AT260" s="92" t="s">
        <v>808</v>
      </c>
      <c r="AU260" s="92" t="s">
        <v>767</v>
      </c>
    </row>
    <row r="261" spans="2:65" s="106" customFormat="1" ht="21.75" customHeight="1">
      <c r="B261" s="107"/>
      <c r="C261" s="234" t="s">
        <v>1263</v>
      </c>
      <c r="D261" s="234" t="s">
        <v>556</v>
      </c>
      <c r="E261" s="235" t="s">
        <v>1109</v>
      </c>
      <c r="F261" s="236" t="s">
        <v>1185</v>
      </c>
      <c r="G261" s="237" t="s">
        <v>617</v>
      </c>
      <c r="H261" s="238">
        <v>173</v>
      </c>
      <c r="I261" s="239"/>
      <c r="J261" s="240">
        <f>ROUND(I261*H261,2)</f>
        <v>0</v>
      </c>
      <c r="K261" s="236" t="s">
        <v>924</v>
      </c>
      <c r="L261" s="107"/>
      <c r="M261" s="241" t="s">
        <v>25</v>
      </c>
      <c r="N261" s="242" t="s">
        <v>728</v>
      </c>
      <c r="P261" s="243">
        <f>O261*H261</f>
        <v>0</v>
      </c>
      <c r="Q261" s="243">
        <v>0</v>
      </c>
      <c r="R261" s="243">
        <f>Q261*H261</f>
        <v>0</v>
      </c>
      <c r="S261" s="243">
        <v>0</v>
      </c>
      <c r="T261" s="244">
        <f>S261*H261</f>
        <v>0</v>
      </c>
      <c r="AR261" s="245" t="s">
        <v>806</v>
      </c>
      <c r="AT261" s="245" t="s">
        <v>556</v>
      </c>
      <c r="AU261" s="245" t="s">
        <v>767</v>
      </c>
      <c r="AY261" s="92" t="s">
        <v>800</v>
      </c>
      <c r="BE261" s="246">
        <f>IF(N261="základní",J261,0)</f>
        <v>0</v>
      </c>
      <c r="BF261" s="246">
        <f>IF(N261="snížená",J261,0)</f>
        <v>0</v>
      </c>
      <c r="BG261" s="246">
        <f>IF(N261="zákl. přenesená",J261,0)</f>
        <v>0</v>
      </c>
      <c r="BH261" s="246">
        <f>IF(N261="sníž. přenesená",J261,0)</f>
        <v>0</v>
      </c>
      <c r="BI261" s="246">
        <f>IF(N261="nulová",J261,0)</f>
        <v>0</v>
      </c>
      <c r="BJ261" s="92" t="s">
        <v>767</v>
      </c>
      <c r="BK261" s="246">
        <f>ROUND(I261*H261,2)</f>
        <v>0</v>
      </c>
      <c r="BL261" s="92" t="s">
        <v>806</v>
      </c>
      <c r="BM261" s="245" t="s">
        <v>1264</v>
      </c>
    </row>
    <row r="262" spans="2:65" s="106" customFormat="1">
      <c r="B262" s="107"/>
      <c r="D262" s="247" t="s">
        <v>808</v>
      </c>
      <c r="F262" s="248" t="s">
        <v>1112</v>
      </c>
      <c r="I262" s="167"/>
      <c r="L262" s="107"/>
      <c r="M262" s="249"/>
      <c r="T262" s="131"/>
      <c r="AT262" s="92" t="s">
        <v>808</v>
      </c>
      <c r="AU262" s="92" t="s">
        <v>767</v>
      </c>
    </row>
    <row r="263" spans="2:65" s="106" customFormat="1" ht="21.75" customHeight="1">
      <c r="B263" s="107"/>
      <c r="C263" s="234" t="s">
        <v>1265</v>
      </c>
      <c r="D263" s="234" t="s">
        <v>556</v>
      </c>
      <c r="E263" s="235" t="s">
        <v>1109</v>
      </c>
      <c r="F263" s="236" t="s">
        <v>1185</v>
      </c>
      <c r="G263" s="237" t="s">
        <v>617</v>
      </c>
      <c r="H263" s="238">
        <v>173</v>
      </c>
      <c r="I263" s="239"/>
      <c r="J263" s="240">
        <f>ROUND(I263*H263,2)</f>
        <v>0</v>
      </c>
      <c r="K263" s="236" t="s">
        <v>924</v>
      </c>
      <c r="L263" s="107"/>
      <c r="M263" s="241" t="s">
        <v>25</v>
      </c>
      <c r="N263" s="242" t="s">
        <v>728</v>
      </c>
      <c r="P263" s="243">
        <f>O263*H263</f>
        <v>0</v>
      </c>
      <c r="Q263" s="243">
        <v>0</v>
      </c>
      <c r="R263" s="243">
        <f>Q263*H263</f>
        <v>0</v>
      </c>
      <c r="S263" s="243">
        <v>0</v>
      </c>
      <c r="T263" s="244">
        <f>S263*H263</f>
        <v>0</v>
      </c>
      <c r="AR263" s="245" t="s">
        <v>806</v>
      </c>
      <c r="AT263" s="245" t="s">
        <v>556</v>
      </c>
      <c r="AU263" s="245" t="s">
        <v>767</v>
      </c>
      <c r="AY263" s="92" t="s">
        <v>800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92" t="s">
        <v>767</v>
      </c>
      <c r="BK263" s="246">
        <f>ROUND(I263*H263,2)</f>
        <v>0</v>
      </c>
      <c r="BL263" s="92" t="s">
        <v>806</v>
      </c>
      <c r="BM263" s="245" t="s">
        <v>1266</v>
      </c>
    </row>
    <row r="264" spans="2:65" s="106" customFormat="1">
      <c r="B264" s="107"/>
      <c r="D264" s="247" t="s">
        <v>808</v>
      </c>
      <c r="F264" s="248" t="s">
        <v>1112</v>
      </c>
      <c r="I264" s="167"/>
      <c r="L264" s="107"/>
      <c r="M264" s="249"/>
      <c r="T264" s="131"/>
      <c r="AT264" s="92" t="s">
        <v>808</v>
      </c>
      <c r="AU264" s="92" t="s">
        <v>767</v>
      </c>
    </row>
    <row r="265" spans="2:65" s="106" customFormat="1" ht="21.75" customHeight="1">
      <c r="B265" s="107"/>
      <c r="C265" s="234" t="s">
        <v>1267</v>
      </c>
      <c r="D265" s="234" t="s">
        <v>556</v>
      </c>
      <c r="E265" s="235" t="s">
        <v>1109</v>
      </c>
      <c r="F265" s="236" t="s">
        <v>1185</v>
      </c>
      <c r="G265" s="237" t="s">
        <v>617</v>
      </c>
      <c r="H265" s="238">
        <v>173</v>
      </c>
      <c r="I265" s="239"/>
      <c r="J265" s="240">
        <f>ROUND(I265*H265,2)</f>
        <v>0</v>
      </c>
      <c r="K265" s="236" t="s">
        <v>924</v>
      </c>
      <c r="L265" s="107"/>
      <c r="M265" s="241" t="s">
        <v>25</v>
      </c>
      <c r="N265" s="242" t="s">
        <v>728</v>
      </c>
      <c r="P265" s="243">
        <f>O265*H265</f>
        <v>0</v>
      </c>
      <c r="Q265" s="243">
        <v>0</v>
      </c>
      <c r="R265" s="243">
        <f>Q265*H265</f>
        <v>0</v>
      </c>
      <c r="S265" s="243">
        <v>0</v>
      </c>
      <c r="T265" s="244">
        <f>S265*H265</f>
        <v>0</v>
      </c>
      <c r="AR265" s="245" t="s">
        <v>806</v>
      </c>
      <c r="AT265" s="245" t="s">
        <v>556</v>
      </c>
      <c r="AU265" s="245" t="s">
        <v>767</v>
      </c>
      <c r="AY265" s="92" t="s">
        <v>800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92" t="s">
        <v>767</v>
      </c>
      <c r="BK265" s="246">
        <f>ROUND(I265*H265,2)</f>
        <v>0</v>
      </c>
      <c r="BL265" s="92" t="s">
        <v>806</v>
      </c>
      <c r="BM265" s="245" t="s">
        <v>1268</v>
      </c>
    </row>
    <row r="266" spans="2:65" s="106" customFormat="1">
      <c r="B266" s="107"/>
      <c r="D266" s="247" t="s">
        <v>808</v>
      </c>
      <c r="F266" s="248" t="s">
        <v>1112</v>
      </c>
      <c r="I266" s="167"/>
      <c r="L266" s="107"/>
      <c r="M266" s="249"/>
      <c r="T266" s="131"/>
      <c r="AT266" s="92" t="s">
        <v>808</v>
      </c>
      <c r="AU266" s="92" t="s">
        <v>767</v>
      </c>
    </row>
    <row r="267" spans="2:65" s="106" customFormat="1" ht="21.75" customHeight="1">
      <c r="B267" s="107"/>
      <c r="C267" s="234" t="s">
        <v>1269</v>
      </c>
      <c r="D267" s="234" t="s">
        <v>556</v>
      </c>
      <c r="E267" s="235" t="s">
        <v>1109</v>
      </c>
      <c r="F267" s="236" t="s">
        <v>1185</v>
      </c>
      <c r="G267" s="237" t="s">
        <v>617</v>
      </c>
      <c r="H267" s="238">
        <v>173</v>
      </c>
      <c r="I267" s="239"/>
      <c r="J267" s="240">
        <f>ROUND(I267*H267,2)</f>
        <v>0</v>
      </c>
      <c r="K267" s="236" t="s">
        <v>924</v>
      </c>
      <c r="L267" s="107"/>
      <c r="M267" s="241" t="s">
        <v>25</v>
      </c>
      <c r="N267" s="242" t="s">
        <v>728</v>
      </c>
      <c r="P267" s="243">
        <f>O267*H267</f>
        <v>0</v>
      </c>
      <c r="Q267" s="243">
        <v>0</v>
      </c>
      <c r="R267" s="243">
        <f>Q267*H267</f>
        <v>0</v>
      </c>
      <c r="S267" s="243">
        <v>0</v>
      </c>
      <c r="T267" s="244">
        <f>S267*H267</f>
        <v>0</v>
      </c>
      <c r="AR267" s="245" t="s">
        <v>806</v>
      </c>
      <c r="AT267" s="245" t="s">
        <v>556</v>
      </c>
      <c r="AU267" s="245" t="s">
        <v>767</v>
      </c>
      <c r="AY267" s="92" t="s">
        <v>800</v>
      </c>
      <c r="BE267" s="246">
        <f>IF(N267="základní",J267,0)</f>
        <v>0</v>
      </c>
      <c r="BF267" s="246">
        <f>IF(N267="snížená",J267,0)</f>
        <v>0</v>
      </c>
      <c r="BG267" s="246">
        <f>IF(N267="zákl. přenesená",J267,0)</f>
        <v>0</v>
      </c>
      <c r="BH267" s="246">
        <f>IF(N267="sníž. přenesená",J267,0)</f>
        <v>0</v>
      </c>
      <c r="BI267" s="246">
        <f>IF(N267="nulová",J267,0)</f>
        <v>0</v>
      </c>
      <c r="BJ267" s="92" t="s">
        <v>767</v>
      </c>
      <c r="BK267" s="246">
        <f>ROUND(I267*H267,2)</f>
        <v>0</v>
      </c>
      <c r="BL267" s="92" t="s">
        <v>806</v>
      </c>
      <c r="BM267" s="245" t="s">
        <v>1270</v>
      </c>
    </row>
    <row r="268" spans="2:65" s="106" customFormat="1">
      <c r="B268" s="107"/>
      <c r="D268" s="247" t="s">
        <v>808</v>
      </c>
      <c r="F268" s="248" t="s">
        <v>1112</v>
      </c>
      <c r="I268" s="167"/>
      <c r="L268" s="107"/>
      <c r="M268" s="249"/>
      <c r="T268" s="131"/>
      <c r="AT268" s="92" t="s">
        <v>808</v>
      </c>
      <c r="AU268" s="92" t="s">
        <v>767</v>
      </c>
    </row>
    <row r="269" spans="2:65" s="106" customFormat="1" ht="21.75" customHeight="1">
      <c r="B269" s="107"/>
      <c r="C269" s="234" t="s">
        <v>1271</v>
      </c>
      <c r="D269" s="234" t="s">
        <v>556</v>
      </c>
      <c r="E269" s="235" t="s">
        <v>1194</v>
      </c>
      <c r="F269" s="236" t="s">
        <v>1195</v>
      </c>
      <c r="G269" s="237" t="s">
        <v>617</v>
      </c>
      <c r="H269" s="238">
        <v>173</v>
      </c>
      <c r="I269" s="239"/>
      <c r="J269" s="240">
        <f>ROUND(I269*H269,2)</f>
        <v>0</v>
      </c>
      <c r="K269" s="236" t="s">
        <v>947</v>
      </c>
      <c r="L269" s="107"/>
      <c r="M269" s="241" t="s">
        <v>25</v>
      </c>
      <c r="N269" s="242" t="s">
        <v>728</v>
      </c>
      <c r="P269" s="243">
        <f>O269*H269</f>
        <v>0</v>
      </c>
      <c r="Q269" s="243">
        <v>0</v>
      </c>
      <c r="R269" s="243">
        <f>Q269*H269</f>
        <v>0</v>
      </c>
      <c r="S269" s="243">
        <v>0</v>
      </c>
      <c r="T269" s="244">
        <f>S269*H269</f>
        <v>0</v>
      </c>
      <c r="AR269" s="245" t="s">
        <v>806</v>
      </c>
      <c r="AT269" s="245" t="s">
        <v>556</v>
      </c>
      <c r="AU269" s="245" t="s">
        <v>767</v>
      </c>
      <c r="AY269" s="92" t="s">
        <v>800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92" t="s">
        <v>767</v>
      </c>
      <c r="BK269" s="246">
        <f>ROUND(I269*H269,2)</f>
        <v>0</v>
      </c>
      <c r="BL269" s="92" t="s">
        <v>806</v>
      </c>
      <c r="BM269" s="245" t="s">
        <v>1272</v>
      </c>
    </row>
    <row r="270" spans="2:65" s="106" customFormat="1" ht="19.5">
      <c r="B270" s="107"/>
      <c r="D270" s="247" t="s">
        <v>808</v>
      </c>
      <c r="F270" s="248" t="s">
        <v>1197</v>
      </c>
      <c r="I270" s="167"/>
      <c r="L270" s="107"/>
      <c r="M270" s="249"/>
      <c r="T270" s="131"/>
      <c r="AT270" s="92" t="s">
        <v>808</v>
      </c>
      <c r="AU270" s="92" t="s">
        <v>767</v>
      </c>
    </row>
    <row r="271" spans="2:65" s="106" customFormat="1" ht="21.75" customHeight="1">
      <c r="B271" s="107"/>
      <c r="C271" s="234" t="s">
        <v>1273</v>
      </c>
      <c r="D271" s="234" t="s">
        <v>556</v>
      </c>
      <c r="E271" s="235" t="s">
        <v>1198</v>
      </c>
      <c r="F271" s="236" t="s">
        <v>1199</v>
      </c>
      <c r="G271" s="237" t="s">
        <v>617</v>
      </c>
      <c r="H271" s="238">
        <v>173</v>
      </c>
      <c r="I271" s="239"/>
      <c r="J271" s="240">
        <f>ROUND(I271*H271,2)</f>
        <v>0</v>
      </c>
      <c r="K271" s="236" t="s">
        <v>25</v>
      </c>
      <c r="L271" s="107"/>
      <c r="M271" s="241" t="s">
        <v>25</v>
      </c>
      <c r="N271" s="242" t="s">
        <v>728</v>
      </c>
      <c r="P271" s="243">
        <f>O271*H271</f>
        <v>0</v>
      </c>
      <c r="Q271" s="243">
        <v>0</v>
      </c>
      <c r="R271" s="243">
        <f>Q271*H271</f>
        <v>0</v>
      </c>
      <c r="S271" s="243">
        <v>0</v>
      </c>
      <c r="T271" s="244">
        <f>S271*H271</f>
        <v>0</v>
      </c>
      <c r="AR271" s="245" t="s">
        <v>806</v>
      </c>
      <c r="AT271" s="245" t="s">
        <v>556</v>
      </c>
      <c r="AU271" s="245" t="s">
        <v>767</v>
      </c>
      <c r="AY271" s="92" t="s">
        <v>800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92" t="s">
        <v>767</v>
      </c>
      <c r="BK271" s="246">
        <f>ROUND(I271*H271,2)</f>
        <v>0</v>
      </c>
      <c r="BL271" s="92" t="s">
        <v>806</v>
      </c>
      <c r="BM271" s="245" t="s">
        <v>1274</v>
      </c>
    </row>
    <row r="272" spans="2:65" s="106" customFormat="1">
      <c r="B272" s="107"/>
      <c r="D272" s="247" t="s">
        <v>808</v>
      </c>
      <c r="F272" s="248" t="s">
        <v>1201</v>
      </c>
      <c r="I272" s="167"/>
      <c r="L272" s="107"/>
      <c r="M272" s="249"/>
      <c r="T272" s="131"/>
      <c r="AT272" s="92" t="s">
        <v>808</v>
      </c>
      <c r="AU272" s="92" t="s">
        <v>767</v>
      </c>
    </row>
    <row r="273" spans="2:65" s="221" customFormat="1" ht="25.9" customHeight="1">
      <c r="B273" s="222"/>
      <c r="D273" s="223" t="s">
        <v>549</v>
      </c>
      <c r="E273" s="224" t="s">
        <v>631</v>
      </c>
      <c r="F273" s="224" t="s">
        <v>632</v>
      </c>
      <c r="I273" s="225"/>
      <c r="J273" s="226">
        <f>BK273</f>
        <v>0</v>
      </c>
      <c r="L273" s="222"/>
      <c r="M273" s="227"/>
      <c r="P273" s="228">
        <f>P274</f>
        <v>0</v>
      </c>
      <c r="R273" s="228">
        <f>R274</f>
        <v>0</v>
      </c>
      <c r="T273" s="229">
        <f>T274</f>
        <v>0</v>
      </c>
      <c r="AR273" s="223" t="s">
        <v>802</v>
      </c>
      <c r="AT273" s="230" t="s">
        <v>549</v>
      </c>
      <c r="AU273" s="230" t="s">
        <v>760</v>
      </c>
      <c r="AY273" s="223" t="s">
        <v>800</v>
      </c>
      <c r="BK273" s="231">
        <f>BK274</f>
        <v>0</v>
      </c>
    </row>
    <row r="274" spans="2:65" s="221" customFormat="1" ht="22.9" customHeight="1">
      <c r="B274" s="222"/>
      <c r="D274" s="223" t="s">
        <v>549</v>
      </c>
      <c r="E274" s="232" t="s">
        <v>818</v>
      </c>
      <c r="F274" s="232" t="s">
        <v>819</v>
      </c>
      <c r="I274" s="225"/>
      <c r="J274" s="233">
        <f>BK274</f>
        <v>0</v>
      </c>
      <c r="L274" s="222"/>
      <c r="M274" s="227"/>
      <c r="P274" s="228">
        <f>SUM(P275:P276)</f>
        <v>0</v>
      </c>
      <c r="R274" s="228">
        <f>SUM(R275:R276)</f>
        <v>0</v>
      </c>
      <c r="T274" s="229">
        <f>SUM(T275:T276)</f>
        <v>0</v>
      </c>
      <c r="AR274" s="223" t="s">
        <v>802</v>
      </c>
      <c r="AT274" s="230" t="s">
        <v>549</v>
      </c>
      <c r="AU274" s="230" t="s">
        <v>767</v>
      </c>
      <c r="AY274" s="223" t="s">
        <v>800</v>
      </c>
      <c r="BK274" s="231">
        <f>SUM(BK275:BK276)</f>
        <v>0</v>
      </c>
    </row>
    <row r="275" spans="2:65" s="106" customFormat="1" ht="16.5" customHeight="1">
      <c r="B275" s="107"/>
      <c r="C275" s="234" t="s">
        <v>999</v>
      </c>
      <c r="D275" s="234" t="s">
        <v>556</v>
      </c>
      <c r="E275" s="235" t="s">
        <v>820</v>
      </c>
      <c r="F275" s="236" t="s">
        <v>1124</v>
      </c>
      <c r="G275" s="237" t="s">
        <v>1030</v>
      </c>
      <c r="H275" s="238">
        <v>1</v>
      </c>
      <c r="I275" s="239"/>
      <c r="J275" s="240">
        <f>ROUND(I275*H275,2)</f>
        <v>0</v>
      </c>
      <c r="K275" s="236" t="s">
        <v>947</v>
      </c>
      <c r="L275" s="107"/>
      <c r="M275" s="241" t="s">
        <v>25</v>
      </c>
      <c r="N275" s="242" t="s">
        <v>728</v>
      </c>
      <c r="P275" s="243">
        <f>O275*H275</f>
        <v>0</v>
      </c>
      <c r="Q275" s="243">
        <v>0</v>
      </c>
      <c r="R275" s="243">
        <f>Q275*H275</f>
        <v>0</v>
      </c>
      <c r="S275" s="243">
        <v>0</v>
      </c>
      <c r="T275" s="244">
        <f>S275*H275</f>
        <v>0</v>
      </c>
      <c r="AR275" s="245" t="s">
        <v>822</v>
      </c>
      <c r="AT275" s="245" t="s">
        <v>556</v>
      </c>
      <c r="AU275" s="245" t="s">
        <v>769</v>
      </c>
      <c r="AY275" s="92" t="s">
        <v>800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92" t="s">
        <v>767</v>
      </c>
      <c r="BK275" s="246">
        <f>ROUND(I275*H275,2)</f>
        <v>0</v>
      </c>
      <c r="BL275" s="92" t="s">
        <v>822</v>
      </c>
      <c r="BM275" s="245" t="s">
        <v>1275</v>
      </c>
    </row>
    <row r="276" spans="2:65" s="106" customFormat="1">
      <c r="B276" s="107"/>
      <c r="D276" s="247" t="s">
        <v>808</v>
      </c>
      <c r="F276" s="248" t="s">
        <v>819</v>
      </c>
      <c r="I276" s="167"/>
      <c r="L276" s="107"/>
      <c r="M276" s="268"/>
      <c r="N276" s="269"/>
      <c r="O276" s="269"/>
      <c r="P276" s="269"/>
      <c r="Q276" s="269"/>
      <c r="R276" s="269"/>
      <c r="S276" s="269"/>
      <c r="T276" s="270"/>
      <c r="AT276" s="92" t="s">
        <v>808</v>
      </c>
      <c r="AU276" s="92" t="s">
        <v>769</v>
      </c>
    </row>
    <row r="277" spans="2:65" s="106" customFormat="1" ht="6.95" customHeight="1">
      <c r="B277" s="119"/>
      <c r="C277" s="120"/>
      <c r="D277" s="120"/>
      <c r="E277" s="120"/>
      <c r="F277" s="120"/>
      <c r="G277" s="120"/>
      <c r="H277" s="120"/>
      <c r="I277" s="192"/>
      <c r="J277" s="120"/>
      <c r="K277" s="120"/>
      <c r="L277" s="107"/>
    </row>
  </sheetData>
  <sheetProtection formatColumns="0" formatRows="0" autoFilter="0"/>
  <autoFilter ref="C124:K276" xr:uid="{00000000-0009-0000-0000-000004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1 - SO151NN_cm">
    <tabColor theme="5" tint="0.39997558519241921"/>
    <pageSetUpPr fitToPage="1"/>
  </sheetPr>
  <dimension ref="A1:S33"/>
  <sheetViews>
    <sheetView workbookViewId="0">
      <selection sqref="A1:A2"/>
    </sheetView>
  </sheetViews>
  <sheetFormatPr defaultRowHeight="12.75"/>
  <cols>
    <col min="1" max="1" width="4.7109375"/>
    <col min="2" max="2" width="5.7109375"/>
    <col min="3" max="3" width="11.7109375"/>
    <col min="4" max="4" width="5.7109375"/>
    <col min="5" max="5" width="80.7109375"/>
    <col min="6" max="6" width="20.7109375"/>
    <col min="7" max="11" width="22.7109375"/>
    <col min="12" max="12" width="4.7109375"/>
    <col min="17" max="19" width="0" hidden="1"/>
  </cols>
  <sheetData>
    <row r="1" spans="1:19">
      <c r="A1" s="276"/>
      <c r="B1" s="3"/>
      <c r="C1" s="3"/>
      <c r="D1" s="280" t="s">
        <v>0</v>
      </c>
      <c r="E1" s="276"/>
      <c r="F1" s="3"/>
      <c r="G1" s="3"/>
      <c r="H1" s="3"/>
      <c r="I1" s="3"/>
      <c r="J1" s="3"/>
      <c r="K1" s="3"/>
      <c r="L1" s="3"/>
      <c r="M1" s="4"/>
      <c r="N1" s="4"/>
      <c r="O1" s="4"/>
      <c r="P1" s="4"/>
    </row>
    <row r="2" spans="1:19">
      <c r="A2" s="276"/>
      <c r="B2" s="3"/>
      <c r="C2" s="3"/>
      <c r="D2" s="276"/>
      <c r="E2" s="276"/>
      <c r="F2" s="3"/>
      <c r="G2" s="3"/>
      <c r="H2" s="3"/>
      <c r="I2" s="3"/>
      <c r="J2" s="3"/>
      <c r="K2" s="3"/>
      <c r="L2" s="3"/>
      <c r="M2" s="4"/>
      <c r="N2" s="4"/>
      <c r="O2" s="4"/>
      <c r="P2" s="4"/>
    </row>
    <row r="3" spans="1:19" ht="24" customHeight="1">
      <c r="A3" s="278" t="s">
        <v>1</v>
      </c>
      <c r="B3" s="276"/>
      <c r="C3" s="276"/>
      <c r="D3" s="276"/>
      <c r="E3" s="276"/>
      <c r="F3" s="276"/>
      <c r="G3" s="3"/>
      <c r="H3" s="3"/>
      <c r="I3" s="3"/>
      <c r="J3" s="3"/>
      <c r="K3" s="3"/>
      <c r="L3" s="3"/>
      <c r="M3" s="4"/>
      <c r="N3" s="4"/>
      <c r="O3" s="4"/>
      <c r="P3" s="4"/>
    </row>
    <row r="4" spans="1:19" ht="6" customHeight="1">
      <c r="A4" s="5"/>
      <c r="B4" s="289" t="s">
        <v>2</v>
      </c>
      <c r="C4" s="290"/>
      <c r="D4" s="5"/>
      <c r="E4" s="5"/>
      <c r="F4" s="5"/>
      <c r="G4" s="5"/>
      <c r="H4" s="5"/>
      <c r="I4" s="5"/>
      <c r="J4" s="5"/>
      <c r="K4" s="5"/>
      <c r="L4" s="5"/>
      <c r="M4" s="4"/>
      <c r="N4" s="4"/>
      <c r="O4" s="4"/>
      <c r="P4" s="4"/>
    </row>
    <row r="5" spans="1:19" ht="6" customHeight="1">
      <c r="A5" s="6"/>
      <c r="B5" s="273"/>
      <c r="C5" s="273"/>
      <c r="D5" s="7"/>
      <c r="E5" s="7"/>
      <c r="F5" s="7"/>
      <c r="G5" s="7"/>
      <c r="H5" s="7"/>
      <c r="I5" s="7"/>
      <c r="J5" s="7"/>
      <c r="K5" s="7"/>
      <c r="L5" s="8"/>
      <c r="M5" s="4"/>
      <c r="N5" s="4"/>
      <c r="O5" s="4"/>
      <c r="P5" s="4"/>
    </row>
    <row r="6" spans="1:19" ht="33.950000000000003" customHeight="1">
      <c r="A6" s="9"/>
      <c r="B6" s="297" t="s">
        <v>3</v>
      </c>
      <c r="C6" s="276"/>
      <c r="D6" s="276"/>
      <c r="E6" s="276"/>
      <c r="F6" s="276"/>
      <c r="G6" s="276"/>
      <c r="H6" s="276"/>
      <c r="I6" s="276"/>
      <c r="J6" s="3"/>
      <c r="K6" s="3"/>
      <c r="L6" s="10"/>
      <c r="M6" s="4"/>
      <c r="N6" s="4"/>
      <c r="O6" s="4"/>
      <c r="P6" s="4"/>
    </row>
    <row r="7" spans="1:19">
      <c r="A7" s="11"/>
      <c r="B7" s="5"/>
      <c r="C7" s="5"/>
      <c r="D7" s="5"/>
      <c r="E7" s="5"/>
      <c r="F7" s="5"/>
      <c r="G7" s="5"/>
      <c r="H7" s="5"/>
      <c r="I7" s="5"/>
      <c r="J7" s="5"/>
      <c r="K7" s="5"/>
      <c r="L7" s="12"/>
      <c r="M7" s="4"/>
      <c r="N7" s="4"/>
      <c r="O7" s="4"/>
      <c r="P7" s="4"/>
    </row>
    <row r="8" spans="1:19" ht="14.1" customHeight="1">
      <c r="A8" s="5"/>
      <c r="B8" s="293" t="s">
        <v>4</v>
      </c>
      <c r="C8" s="290"/>
      <c r="D8" s="5"/>
      <c r="E8" s="5"/>
      <c r="F8" s="5"/>
      <c r="G8" s="5"/>
      <c r="H8" s="5"/>
      <c r="I8" s="5"/>
      <c r="J8" s="5"/>
      <c r="K8" s="5"/>
      <c r="L8" s="5"/>
      <c r="M8" s="4"/>
      <c r="N8" s="4"/>
      <c r="O8" s="4"/>
      <c r="P8" s="4"/>
    </row>
    <row r="9" spans="1:19" ht="8.1" customHeight="1">
      <c r="A9" s="6"/>
      <c r="B9" s="273"/>
      <c r="C9" s="273"/>
      <c r="D9" s="7"/>
      <c r="E9" s="7"/>
      <c r="F9" s="7"/>
      <c r="G9" s="7"/>
      <c r="H9" s="7"/>
      <c r="I9" s="7"/>
      <c r="J9" s="7"/>
      <c r="K9" s="7"/>
      <c r="L9" s="8"/>
      <c r="M9" s="4"/>
      <c r="N9" s="4"/>
      <c r="O9" s="4"/>
      <c r="P9" s="4"/>
    </row>
    <row r="10" spans="1:19">
      <c r="A10" s="275" t="s">
        <v>5</v>
      </c>
      <c r="B10" s="276"/>
      <c r="C10" s="294"/>
      <c r="D10" s="276"/>
      <c r="E10" s="3"/>
      <c r="F10" s="14"/>
      <c r="G10" s="3"/>
      <c r="H10" s="15" t="s">
        <v>88</v>
      </c>
      <c r="I10" s="16">
        <f>G32</f>
        <v>0</v>
      </c>
      <c r="J10" s="3"/>
      <c r="K10" s="3"/>
      <c r="L10" s="10"/>
      <c r="M10" s="4"/>
      <c r="N10" s="4"/>
      <c r="O10" s="4"/>
      <c r="P10" s="4"/>
    </row>
    <row r="11" spans="1:19" ht="15.95" customHeight="1">
      <c r="A11" s="277" t="s">
        <v>90</v>
      </c>
      <c r="B11" s="276"/>
      <c r="C11" s="276"/>
      <c r="D11" s="276"/>
      <c r="E11" s="276"/>
      <c r="F11" s="295"/>
      <c r="G11" s="276"/>
      <c r="H11" s="15" t="s">
        <v>89</v>
      </c>
      <c r="I11" s="16">
        <f>ROUND(I10*(1+Q11),2)</f>
        <v>0</v>
      </c>
      <c r="J11" s="3"/>
      <c r="K11" s="3"/>
      <c r="L11" s="10"/>
      <c r="M11" s="4"/>
      <c r="N11" s="4"/>
      <c r="O11" s="4"/>
      <c r="P11" s="4"/>
      <c r="Q11" s="1">
        <f>IF(SUM(J20:J20)&gt;0,ROUND(SUM(S20:S20)/SUM(J20:J20)-1,8),0)</f>
        <v>0</v>
      </c>
      <c r="R11" s="1">
        <f>AVERAGE(I32)</f>
        <v>0.21</v>
      </c>
      <c r="S11" s="1">
        <f>I10*(1+Q11)</f>
        <v>0</v>
      </c>
    </row>
    <row r="12" spans="1:19">
      <c r="A12" s="275" t="s">
        <v>7</v>
      </c>
      <c r="B12" s="276"/>
      <c r="C12" s="294"/>
      <c r="D12" s="276"/>
      <c r="E12" s="276"/>
      <c r="F12" s="296"/>
      <c r="G12" s="276"/>
      <c r="H12" s="3"/>
      <c r="I12" s="3"/>
      <c r="J12" s="3"/>
      <c r="K12" s="3"/>
      <c r="L12" s="10"/>
      <c r="M12" s="4"/>
      <c r="N12" s="4"/>
      <c r="O12" s="4"/>
      <c r="P12" s="4"/>
    </row>
    <row r="13" spans="1:19" ht="15.95" customHeight="1">
      <c r="A13" s="277">
        <f>Souhrn!A13</f>
        <v>0</v>
      </c>
      <c r="B13" s="276"/>
      <c r="C13" s="276"/>
      <c r="D13" s="276"/>
      <c r="E13" s="276"/>
      <c r="F13" s="295"/>
      <c r="G13" s="276"/>
      <c r="H13" s="15" t="s">
        <v>8</v>
      </c>
      <c r="I13" s="13">
        <f>Souhrn!E13</f>
        <v>0</v>
      </c>
      <c r="J13" s="3"/>
      <c r="K13" s="3"/>
      <c r="L13" s="10"/>
      <c r="M13" s="4"/>
      <c r="N13" s="4"/>
      <c r="O13" s="4"/>
      <c r="P13" s="4"/>
    </row>
    <row r="14" spans="1:19">
      <c r="A14" s="9"/>
      <c r="B14" s="3"/>
      <c r="C14" s="3"/>
      <c r="D14" s="3"/>
      <c r="E14" s="3"/>
      <c r="F14" s="3"/>
      <c r="G14" s="3"/>
      <c r="H14" s="15" t="s">
        <v>9</v>
      </c>
      <c r="I14" s="13">
        <f>Souhrn!E14</f>
        <v>0</v>
      </c>
      <c r="J14" s="3"/>
      <c r="K14" s="3"/>
      <c r="L14" s="10"/>
      <c r="M14" s="4"/>
      <c r="N14" s="4"/>
      <c r="O14" s="4"/>
      <c r="P14" s="4"/>
    </row>
    <row r="15" spans="1:19" hidden="1">
      <c r="A15" s="9"/>
      <c r="B15" s="3"/>
      <c r="C15" s="3"/>
      <c r="D15" s="3"/>
      <c r="E15" s="3"/>
      <c r="F15" s="3"/>
      <c r="G15" s="3"/>
      <c r="H15" s="3"/>
      <c r="I15" s="3"/>
      <c r="J15" s="3"/>
      <c r="K15" s="3"/>
      <c r="L15" s="10"/>
      <c r="M15" s="4"/>
      <c r="N15" s="4"/>
      <c r="O15" s="4"/>
      <c r="P15" s="4"/>
    </row>
    <row r="16" spans="1:19" ht="9.9499999999999993" customHeight="1">
      <c r="A16" s="11"/>
      <c r="B16" s="5"/>
      <c r="C16" s="5"/>
      <c r="D16" s="5"/>
      <c r="E16" s="5"/>
      <c r="F16" s="5"/>
      <c r="G16" s="5"/>
      <c r="H16" s="5"/>
      <c r="I16" s="5"/>
      <c r="J16" s="5"/>
      <c r="K16" s="5"/>
      <c r="L16" s="12"/>
      <c r="M16" s="4"/>
      <c r="N16" s="4"/>
      <c r="O16" s="4"/>
      <c r="P16" s="4"/>
    </row>
    <row r="17" spans="1:19" ht="14.1" customHeight="1">
      <c r="A17" s="5"/>
      <c r="B17" s="289" t="s">
        <v>10</v>
      </c>
      <c r="C17" s="290"/>
      <c r="D17" s="5"/>
      <c r="E17" s="5"/>
      <c r="F17" s="5"/>
      <c r="G17" s="5"/>
      <c r="H17" s="5"/>
      <c r="I17" s="5"/>
      <c r="J17" s="5"/>
      <c r="K17" s="5"/>
      <c r="L17" s="5"/>
      <c r="M17" s="4"/>
      <c r="N17" s="4"/>
      <c r="O17" s="4"/>
      <c r="P17" s="4"/>
    </row>
    <row r="18" spans="1:19" ht="6" customHeight="1">
      <c r="A18" s="6"/>
      <c r="B18" s="273"/>
      <c r="C18" s="273"/>
      <c r="D18" s="7"/>
      <c r="E18" s="7"/>
      <c r="F18" s="7"/>
      <c r="G18" s="7"/>
      <c r="H18" s="7"/>
      <c r="I18" s="7"/>
      <c r="J18" s="7"/>
      <c r="K18" s="7"/>
      <c r="L18" s="8"/>
      <c r="M18" s="4"/>
      <c r="N18" s="4"/>
      <c r="O18" s="4"/>
      <c r="P18" s="4"/>
    </row>
    <row r="19" spans="1:19" ht="18" customHeight="1">
      <c r="A19" s="9"/>
      <c r="B19" s="291" t="s">
        <v>11</v>
      </c>
      <c r="C19" s="291"/>
      <c r="D19" s="291"/>
      <c r="E19" s="291" t="s">
        <v>12</v>
      </c>
      <c r="F19" s="292"/>
      <c r="G19" s="19"/>
      <c r="H19" s="19"/>
      <c r="I19" s="19"/>
      <c r="J19" s="19" t="s">
        <v>13</v>
      </c>
      <c r="K19" s="19" t="s">
        <v>14</v>
      </c>
      <c r="L19" s="10"/>
      <c r="M19" s="4"/>
      <c r="N19" s="4"/>
      <c r="O19" s="4"/>
      <c r="P19" s="4"/>
    </row>
    <row r="20" spans="1:19">
      <c r="A20" s="9"/>
      <c r="B20" s="287">
        <v>9</v>
      </c>
      <c r="C20" s="276"/>
      <c r="D20" s="276"/>
      <c r="E20" s="20" t="s">
        <v>87</v>
      </c>
      <c r="F20" s="3"/>
      <c r="G20" s="3"/>
      <c r="H20" s="3"/>
      <c r="I20" s="3"/>
      <c r="J20" s="21">
        <f>G32</f>
        <v>0</v>
      </c>
      <c r="K20" s="21">
        <f>K32</f>
        <v>0</v>
      </c>
      <c r="L20" s="10"/>
      <c r="M20" s="4"/>
      <c r="N20" s="4"/>
      <c r="O20" s="4"/>
      <c r="P20" s="4"/>
      <c r="S20" s="1">
        <f>S32</f>
        <v>0</v>
      </c>
    </row>
    <row r="21" spans="1:19">
      <c r="A21" s="11"/>
      <c r="B21" s="5"/>
      <c r="C21" s="5"/>
      <c r="D21" s="5"/>
      <c r="E21" s="5"/>
      <c r="F21" s="5"/>
      <c r="G21" s="5"/>
      <c r="H21" s="5"/>
      <c r="I21" s="5"/>
      <c r="J21" s="5"/>
      <c r="K21" s="5"/>
      <c r="L21" s="12"/>
      <c r="M21" s="4"/>
      <c r="N21" s="4"/>
      <c r="O21" s="4"/>
      <c r="P21" s="4"/>
    </row>
    <row r="22" spans="1:19" ht="14.1" customHeight="1">
      <c r="A22" s="5"/>
      <c r="B22" s="289" t="s">
        <v>15</v>
      </c>
      <c r="C22" s="290"/>
      <c r="D22" s="5"/>
      <c r="E22" s="5"/>
      <c r="F22" s="5"/>
      <c r="G22" s="5"/>
      <c r="H22" s="5"/>
      <c r="I22" s="5"/>
      <c r="J22" s="5"/>
      <c r="K22" s="5"/>
      <c r="L22" s="5"/>
      <c r="M22" s="4"/>
      <c r="N22" s="4"/>
      <c r="O22" s="4"/>
      <c r="P22" s="4"/>
    </row>
    <row r="23" spans="1:19" ht="18" customHeight="1">
      <c r="A23" s="6"/>
      <c r="B23" s="273"/>
      <c r="C23" s="273"/>
      <c r="D23" s="7"/>
      <c r="E23" s="7"/>
      <c r="F23" s="7"/>
      <c r="G23" s="7"/>
      <c r="H23" s="7"/>
      <c r="I23" s="7"/>
      <c r="J23" s="7"/>
      <c r="K23" s="7"/>
      <c r="L23" s="8"/>
      <c r="M23" s="4"/>
      <c r="N23" s="4"/>
      <c r="O23" s="4"/>
      <c r="P23" s="4"/>
    </row>
    <row r="24" spans="1:19" ht="18" customHeight="1">
      <c r="A24" s="9"/>
      <c r="B24" s="17" t="s">
        <v>16</v>
      </c>
      <c r="C24" s="17" t="s">
        <v>11</v>
      </c>
      <c r="D24" s="17" t="s">
        <v>17</v>
      </c>
      <c r="E24" s="17" t="s">
        <v>12</v>
      </c>
      <c r="F24" s="18" t="s">
        <v>18</v>
      </c>
      <c r="G24" s="19" t="s">
        <v>19</v>
      </c>
      <c r="H24" s="19" t="s">
        <v>20</v>
      </c>
      <c r="I24" s="19" t="s">
        <v>13</v>
      </c>
      <c r="J24" s="18" t="s">
        <v>21</v>
      </c>
      <c r="K24" s="19" t="s">
        <v>14</v>
      </c>
      <c r="L24" s="10"/>
      <c r="M24" s="4"/>
      <c r="N24" s="4"/>
      <c r="O24" s="4"/>
      <c r="P24" s="4"/>
    </row>
    <row r="25" spans="1:19" ht="39.950000000000003" customHeight="1">
      <c r="A25" s="9"/>
      <c r="B25" s="288" t="s">
        <v>86</v>
      </c>
      <c r="C25" s="276"/>
      <c r="D25" s="276"/>
      <c r="E25" s="276"/>
      <c r="F25" s="276"/>
      <c r="G25" s="276"/>
      <c r="H25" s="286"/>
      <c r="I25" s="276"/>
      <c r="J25" s="286"/>
      <c r="K25" s="276"/>
      <c r="L25" s="10"/>
      <c r="M25" s="4"/>
      <c r="N25" s="4"/>
      <c r="O25" s="4"/>
      <c r="P25" s="4"/>
    </row>
    <row r="26" spans="1:19">
      <c r="A26" s="9"/>
      <c r="B26" s="22">
        <v>1</v>
      </c>
      <c r="C26" s="23" t="s">
        <v>91</v>
      </c>
      <c r="D26" s="23" t="s">
        <v>92</v>
      </c>
      <c r="E26" s="23" t="s">
        <v>93</v>
      </c>
      <c r="F26" s="24" t="s">
        <v>52</v>
      </c>
      <c r="G26" s="25">
        <f>ROUND(5,3)</f>
        <v>5</v>
      </c>
      <c r="H26" s="40">
        <f>ROUND(0,2)</f>
        <v>0</v>
      </c>
      <c r="I26" s="26">
        <f>ROUND(H26*G26,2)</f>
        <v>0</v>
      </c>
      <c r="J26" s="45" t="s">
        <v>25</v>
      </c>
      <c r="K26" s="26">
        <f>IF(ISNUMBER(J26),ROUND(I26*(J26+1),2),0)</f>
        <v>0</v>
      </c>
      <c r="L26" s="10"/>
      <c r="M26" s="4"/>
      <c r="N26" s="4"/>
      <c r="O26" s="4"/>
      <c r="P26" s="4"/>
      <c r="Q26" s="1">
        <f>IF(ISNUMBER(J26),IF(G26&gt;0,IF(H26&gt;0,I26,0),0),0)</f>
        <v>0</v>
      </c>
      <c r="R26" s="1">
        <f>IF(ISNUMBER(J26)=FALSE,I26,0)</f>
        <v>0</v>
      </c>
    </row>
    <row r="27" spans="1:19">
      <c r="A27" s="9"/>
      <c r="B27" s="283" t="s">
        <v>27</v>
      </c>
      <c r="C27" s="276"/>
      <c r="D27" s="276"/>
      <c r="E27" s="27" t="s">
        <v>25</v>
      </c>
      <c r="F27" s="3"/>
      <c r="G27" s="3"/>
      <c r="H27" s="39"/>
      <c r="I27" s="3"/>
      <c r="J27" s="39"/>
      <c r="K27" s="3"/>
      <c r="L27" s="10"/>
      <c r="M27" s="4"/>
      <c r="N27" s="4"/>
      <c r="O27" s="4"/>
      <c r="P27" s="4"/>
    </row>
    <row r="28" spans="1:19" ht="13.5" thickBot="1">
      <c r="A28" s="9"/>
      <c r="B28" s="281" t="s">
        <v>28</v>
      </c>
      <c r="C28" s="282"/>
      <c r="D28" s="282"/>
      <c r="E28" s="29" t="s">
        <v>25</v>
      </c>
      <c r="F28" s="28"/>
      <c r="G28" s="28"/>
      <c r="H28" s="41"/>
      <c r="I28" s="28"/>
      <c r="J28" s="41"/>
      <c r="K28" s="28"/>
      <c r="L28" s="10"/>
      <c r="M28" s="4"/>
      <c r="N28" s="4"/>
      <c r="O28" s="4"/>
      <c r="P28" s="4"/>
    </row>
    <row r="29" spans="1:19" ht="13.5" thickTop="1">
      <c r="A29" s="9"/>
      <c r="B29" s="22">
        <v>2</v>
      </c>
      <c r="C29" s="23" t="s">
        <v>94</v>
      </c>
      <c r="D29" s="23" t="s">
        <v>92</v>
      </c>
      <c r="E29" s="23" t="s">
        <v>95</v>
      </c>
      <c r="F29" s="24" t="s">
        <v>52</v>
      </c>
      <c r="G29" s="30">
        <f>ROUND(5,3)</f>
        <v>5</v>
      </c>
      <c r="H29" s="42">
        <f>ROUND(0,2)</f>
        <v>0</v>
      </c>
      <c r="I29" s="31">
        <f>ROUND(H29*G29,2)</f>
        <v>0</v>
      </c>
      <c r="J29" s="46" t="s">
        <v>25</v>
      </c>
      <c r="K29" s="31">
        <f>IF(ISNUMBER(J29),ROUND(I29*(J29+1),2),0)</f>
        <v>0</v>
      </c>
      <c r="L29" s="10"/>
      <c r="M29" s="4"/>
      <c r="N29" s="4"/>
      <c r="O29" s="4"/>
      <c r="P29" s="4"/>
      <c r="Q29" s="1">
        <f>IF(ISNUMBER(J29),IF(G29&gt;0,IF(H29&gt;0,I29,0),0),0)</f>
        <v>0</v>
      </c>
      <c r="R29" s="1">
        <f>IF(ISNUMBER(J29)=FALSE,I29,0)</f>
        <v>0</v>
      </c>
    </row>
    <row r="30" spans="1:19">
      <c r="A30" s="9"/>
      <c r="B30" s="283" t="s">
        <v>27</v>
      </c>
      <c r="C30" s="276"/>
      <c r="D30" s="276"/>
      <c r="E30" s="27" t="s">
        <v>25</v>
      </c>
      <c r="F30" s="3"/>
      <c r="G30" s="3"/>
      <c r="H30" s="39"/>
      <c r="I30" s="3"/>
      <c r="J30" s="39"/>
      <c r="K30" s="3"/>
      <c r="L30" s="10"/>
      <c r="M30" s="4"/>
      <c r="N30" s="4"/>
      <c r="O30" s="4"/>
      <c r="P30" s="4"/>
    </row>
    <row r="31" spans="1:19" ht="13.5" thickBot="1">
      <c r="A31" s="9"/>
      <c r="B31" s="281" t="s">
        <v>28</v>
      </c>
      <c r="C31" s="282"/>
      <c r="D31" s="282"/>
      <c r="E31" s="29" t="s">
        <v>25</v>
      </c>
      <c r="F31" s="28"/>
      <c r="G31" s="28"/>
      <c r="H31" s="41"/>
      <c r="I31" s="28"/>
      <c r="J31" s="41"/>
      <c r="K31" s="28"/>
      <c r="L31" s="10"/>
      <c r="M31" s="4"/>
      <c r="N31" s="4"/>
      <c r="O31" s="4"/>
      <c r="P31" s="4"/>
    </row>
    <row r="32" spans="1:19" ht="24.95" customHeight="1" thickTop="1" thickBot="1">
      <c r="A32" s="9"/>
      <c r="B32" s="32"/>
      <c r="C32" s="33">
        <v>9</v>
      </c>
      <c r="D32" s="32"/>
      <c r="E32" s="34" t="s">
        <v>87</v>
      </c>
      <c r="F32" s="35" t="s">
        <v>44</v>
      </c>
      <c r="G32" s="36">
        <f>I26+I29</f>
        <v>0</v>
      </c>
      <c r="H32" s="43" t="s">
        <v>45</v>
      </c>
      <c r="I32" s="37">
        <f>IF(COUNT(J26:J32)&gt;0,AVERAGE(J26:J32),0.21)</f>
        <v>0.21</v>
      </c>
      <c r="J32" s="43" t="s">
        <v>46</v>
      </c>
      <c r="K32" s="36">
        <f>ROUND(Q32*(1+I32),2)+R32</f>
        <v>0</v>
      </c>
      <c r="L32" s="10"/>
      <c r="M32" s="4"/>
      <c r="N32" s="4"/>
      <c r="O32" s="4"/>
      <c r="P32" s="4"/>
      <c r="Q32" s="1">
        <f>0+Q26+Q29</f>
        <v>0</v>
      </c>
      <c r="R32" s="1">
        <f>0+R26+R29</f>
        <v>0</v>
      </c>
      <c r="S32" s="2">
        <f>Q32*(1+I32)+R32</f>
        <v>0</v>
      </c>
    </row>
    <row r="33" spans="1:16">
      <c r="A33" s="11"/>
      <c r="B33" s="5"/>
      <c r="C33" s="5"/>
      <c r="D33" s="5"/>
      <c r="E33" s="38"/>
      <c r="F33" s="5"/>
      <c r="G33" s="5"/>
      <c r="H33" s="44"/>
      <c r="I33" s="5"/>
      <c r="J33" s="44"/>
      <c r="K33" s="5"/>
      <c r="L33" s="12"/>
      <c r="M33" s="4"/>
      <c r="N33" s="4"/>
      <c r="O33" s="4"/>
      <c r="P33" s="4"/>
    </row>
  </sheetData>
  <autoFilter ref="A1:S1" xr:uid="{00000000-0009-0000-0000-000002000000}">
    <filterColumn colId="3" showButton="0"/>
  </autoFilter>
  <mergeCells count="20">
    <mergeCell ref="A1:A2"/>
    <mergeCell ref="A3:F3"/>
    <mergeCell ref="B4:C5"/>
    <mergeCell ref="B6:I6"/>
    <mergeCell ref="D1:E2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30:D30"/>
    <mergeCell ref="B31:D31"/>
    <mergeCell ref="B25:K25"/>
    <mergeCell ref="B20:D20"/>
  </mergeCells>
  <pageMargins left="0.39370078740157499" right="0.39370078740157499" top="0.59055118110236204" bottom="0.39370078740157499" header="0.196850393700787" footer="0.15748031496063"/>
  <pageSetup paperSize="9" fitToHeight="0" orientation="portrait"/>
  <headerFooter>
    <oddFooter>&amp;CLÁVKA PŘES LABE V NYMBURKU | Úprava zpevněných ploch u opěry 1&amp;R&amp;P/&amp;N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2 - SO151UN_cm">
    <tabColor theme="8" tint="0.39997558519241921"/>
    <pageSetUpPr fitToPage="1"/>
  </sheetPr>
  <dimension ref="A1:S129"/>
  <sheetViews>
    <sheetView workbookViewId="0">
      <selection sqref="A1:A2"/>
    </sheetView>
  </sheetViews>
  <sheetFormatPr defaultRowHeight="12.75"/>
  <cols>
    <col min="1" max="1" width="4.7109375"/>
    <col min="2" max="2" width="5.7109375"/>
    <col min="3" max="3" width="11.7109375"/>
    <col min="4" max="4" width="5.7109375"/>
    <col min="5" max="5" width="80.7109375"/>
    <col min="6" max="6" width="20.7109375"/>
    <col min="7" max="11" width="22.7109375"/>
    <col min="12" max="12" width="4.7109375"/>
    <col min="17" max="19" width="0" hidden="1"/>
  </cols>
  <sheetData>
    <row r="1" spans="1:19">
      <c r="A1" s="276"/>
      <c r="B1" s="3"/>
      <c r="C1" s="3"/>
      <c r="D1" s="280" t="s">
        <v>0</v>
      </c>
      <c r="E1" s="276"/>
      <c r="F1" s="3"/>
      <c r="G1" s="3"/>
      <c r="H1" s="3"/>
      <c r="I1" s="3"/>
      <c r="J1" s="3"/>
      <c r="K1" s="3"/>
      <c r="L1" s="3"/>
      <c r="M1" s="4"/>
      <c r="N1" s="4"/>
      <c r="O1" s="4"/>
      <c r="P1" s="4"/>
    </row>
    <row r="2" spans="1:19">
      <c r="A2" s="276"/>
      <c r="B2" s="3"/>
      <c r="C2" s="3"/>
      <c r="D2" s="276"/>
      <c r="E2" s="276"/>
      <c r="F2" s="3"/>
      <c r="G2" s="3"/>
      <c r="H2" s="3"/>
      <c r="I2" s="3"/>
      <c r="J2" s="3"/>
      <c r="K2" s="3"/>
      <c r="L2" s="3"/>
      <c r="M2" s="4"/>
      <c r="N2" s="4"/>
      <c r="O2" s="4"/>
      <c r="P2" s="4"/>
    </row>
    <row r="3" spans="1:19" ht="24" customHeight="1">
      <c r="A3" s="278" t="s">
        <v>1</v>
      </c>
      <c r="B3" s="276"/>
      <c r="C3" s="276"/>
      <c r="D3" s="276"/>
      <c r="E3" s="276"/>
      <c r="F3" s="276"/>
      <c r="G3" s="3"/>
      <c r="H3" s="3"/>
      <c r="I3" s="3"/>
      <c r="J3" s="3"/>
      <c r="K3" s="3"/>
      <c r="L3" s="3"/>
      <c r="M3" s="4"/>
      <c r="N3" s="4"/>
      <c r="O3" s="4"/>
      <c r="P3" s="4"/>
    </row>
    <row r="4" spans="1:19" ht="6" customHeight="1">
      <c r="A4" s="5"/>
      <c r="B4" s="289" t="s">
        <v>2</v>
      </c>
      <c r="C4" s="290"/>
      <c r="D4" s="5"/>
      <c r="E4" s="5"/>
      <c r="F4" s="5"/>
      <c r="G4" s="5"/>
      <c r="H4" s="5"/>
      <c r="I4" s="5"/>
      <c r="J4" s="5"/>
      <c r="K4" s="5"/>
      <c r="L4" s="5"/>
      <c r="M4" s="4"/>
      <c r="N4" s="4"/>
      <c r="O4" s="4"/>
      <c r="P4" s="4"/>
    </row>
    <row r="5" spans="1:19" ht="6" customHeight="1">
      <c r="A5" s="6"/>
      <c r="B5" s="273"/>
      <c r="C5" s="273"/>
      <c r="D5" s="7"/>
      <c r="E5" s="7"/>
      <c r="F5" s="7"/>
      <c r="G5" s="7"/>
      <c r="H5" s="7"/>
      <c r="I5" s="7"/>
      <c r="J5" s="7"/>
      <c r="K5" s="7"/>
      <c r="L5" s="8"/>
      <c r="M5" s="4"/>
      <c r="N5" s="4"/>
      <c r="O5" s="4"/>
      <c r="P5" s="4"/>
    </row>
    <row r="6" spans="1:19" ht="33.950000000000003" customHeight="1">
      <c r="A6" s="9"/>
      <c r="B6" s="297" t="s">
        <v>3</v>
      </c>
      <c r="C6" s="276"/>
      <c r="D6" s="276"/>
      <c r="E6" s="276"/>
      <c r="F6" s="276"/>
      <c r="G6" s="276"/>
      <c r="H6" s="276"/>
      <c r="I6" s="276"/>
      <c r="J6" s="3"/>
      <c r="K6" s="3"/>
      <c r="L6" s="10"/>
      <c r="M6" s="4"/>
      <c r="N6" s="4"/>
      <c r="O6" s="4"/>
      <c r="P6" s="4"/>
    </row>
    <row r="7" spans="1:19">
      <c r="A7" s="11"/>
      <c r="B7" s="5"/>
      <c r="C7" s="5"/>
      <c r="D7" s="5"/>
      <c r="E7" s="5"/>
      <c r="F7" s="5"/>
      <c r="G7" s="5"/>
      <c r="H7" s="5"/>
      <c r="I7" s="5"/>
      <c r="J7" s="5"/>
      <c r="K7" s="5"/>
      <c r="L7" s="12"/>
      <c r="M7" s="4"/>
      <c r="N7" s="4"/>
      <c r="O7" s="4"/>
      <c r="P7" s="4"/>
    </row>
    <row r="8" spans="1:19" ht="14.1" customHeight="1">
      <c r="A8" s="5"/>
      <c r="B8" s="293" t="s">
        <v>4</v>
      </c>
      <c r="C8" s="290"/>
      <c r="D8" s="5"/>
      <c r="E8" s="5"/>
      <c r="F8" s="5"/>
      <c r="G8" s="5"/>
      <c r="H8" s="5"/>
      <c r="I8" s="5"/>
      <c r="J8" s="5"/>
      <c r="K8" s="5"/>
      <c r="L8" s="5"/>
      <c r="M8" s="4"/>
      <c r="N8" s="4"/>
      <c r="O8" s="4"/>
      <c r="P8" s="4"/>
    </row>
    <row r="9" spans="1:19" ht="8.1" customHeight="1">
      <c r="A9" s="6"/>
      <c r="B9" s="273"/>
      <c r="C9" s="273"/>
      <c r="D9" s="7"/>
      <c r="E9" s="7"/>
      <c r="F9" s="7"/>
      <c r="G9" s="7"/>
      <c r="H9" s="7"/>
      <c r="I9" s="7"/>
      <c r="J9" s="7"/>
      <c r="K9" s="7"/>
      <c r="L9" s="8"/>
      <c r="M9" s="4"/>
      <c r="N9" s="4"/>
      <c r="O9" s="4"/>
      <c r="P9" s="4"/>
    </row>
    <row r="10" spans="1:19">
      <c r="A10" s="275" t="s">
        <v>5</v>
      </c>
      <c r="B10" s="276"/>
      <c r="C10" s="294"/>
      <c r="D10" s="276"/>
      <c r="E10" s="3"/>
      <c r="F10" s="14"/>
      <c r="G10" s="3"/>
      <c r="H10" s="15" t="s">
        <v>88</v>
      </c>
      <c r="I10" s="16">
        <f>G38+G49+G60+G65+G100+G114+G128</f>
        <v>0</v>
      </c>
      <c r="J10" s="3"/>
      <c r="K10" s="3"/>
      <c r="L10" s="10"/>
      <c r="M10" s="4"/>
      <c r="N10" s="4"/>
      <c r="O10" s="4"/>
      <c r="P10" s="4"/>
    </row>
    <row r="11" spans="1:19" ht="15.95" customHeight="1">
      <c r="A11" s="277" t="s">
        <v>96</v>
      </c>
      <c r="B11" s="276"/>
      <c r="C11" s="276"/>
      <c r="D11" s="276"/>
      <c r="E11" s="276"/>
      <c r="F11" s="295"/>
      <c r="G11" s="276"/>
      <c r="H11" s="15" t="s">
        <v>89</v>
      </c>
      <c r="I11" s="16">
        <f>ROUND(I10*(1+Q11),2)</f>
        <v>0</v>
      </c>
      <c r="J11" s="3"/>
      <c r="K11" s="3"/>
      <c r="L11" s="10"/>
      <c r="M11" s="4"/>
      <c r="N11" s="4"/>
      <c r="O11" s="4"/>
      <c r="P11" s="4"/>
      <c r="Q11" s="1">
        <f>IF(SUM(J20:J26)&gt;0,ROUND(SUM(S20:S26)/SUM(J20:J26)-1,8),0)</f>
        <v>0</v>
      </c>
      <c r="R11" s="1">
        <f>AVERAGE(I38,I49,I60,I65,I100,I114,I128)</f>
        <v>0.21</v>
      </c>
      <c r="S11" s="1">
        <f>I10*(1+Q11)</f>
        <v>0</v>
      </c>
    </row>
    <row r="12" spans="1:19">
      <c r="A12" s="275" t="s">
        <v>7</v>
      </c>
      <c r="B12" s="276"/>
      <c r="C12" s="294"/>
      <c r="D12" s="276"/>
      <c r="E12" s="276"/>
      <c r="F12" s="296"/>
      <c r="G12" s="276"/>
      <c r="H12" s="3"/>
      <c r="I12" s="3"/>
      <c r="J12" s="3"/>
      <c r="K12" s="3"/>
      <c r="L12" s="10"/>
      <c r="M12" s="4"/>
      <c r="N12" s="4"/>
      <c r="O12" s="4"/>
      <c r="P12" s="4"/>
    </row>
    <row r="13" spans="1:19" ht="15.95" customHeight="1">
      <c r="A13" s="277">
        <f>Souhrn!A13</f>
        <v>0</v>
      </c>
      <c r="B13" s="276"/>
      <c r="C13" s="276"/>
      <c r="D13" s="276"/>
      <c r="E13" s="276"/>
      <c r="F13" s="295"/>
      <c r="G13" s="276"/>
      <c r="H13" s="15" t="s">
        <v>8</v>
      </c>
      <c r="I13" s="13">
        <f>Souhrn!E13</f>
        <v>0</v>
      </c>
      <c r="J13" s="3"/>
      <c r="K13" s="3"/>
      <c r="L13" s="10"/>
      <c r="M13" s="4"/>
      <c r="N13" s="4"/>
      <c r="O13" s="4"/>
      <c r="P13" s="4"/>
    </row>
    <row r="14" spans="1:19">
      <c r="A14" s="9"/>
      <c r="B14" s="3"/>
      <c r="C14" s="3"/>
      <c r="D14" s="3"/>
      <c r="E14" s="3"/>
      <c r="F14" s="3"/>
      <c r="G14" s="3"/>
      <c r="H14" s="15" t="s">
        <v>9</v>
      </c>
      <c r="I14" s="13">
        <f>Souhrn!E14</f>
        <v>0</v>
      </c>
      <c r="J14" s="3"/>
      <c r="K14" s="3"/>
      <c r="L14" s="10"/>
      <c r="M14" s="4"/>
      <c r="N14" s="4"/>
      <c r="O14" s="4"/>
      <c r="P14" s="4"/>
    </row>
    <row r="15" spans="1:19" hidden="1">
      <c r="A15" s="9"/>
      <c r="B15" s="3"/>
      <c r="C15" s="3"/>
      <c r="D15" s="3"/>
      <c r="E15" s="3"/>
      <c r="F15" s="3"/>
      <c r="G15" s="3"/>
      <c r="H15" s="3"/>
      <c r="I15" s="3"/>
      <c r="J15" s="3"/>
      <c r="K15" s="3"/>
      <c r="L15" s="10"/>
      <c r="M15" s="4"/>
      <c r="N15" s="4"/>
      <c r="O15" s="4"/>
      <c r="P15" s="4"/>
    </row>
    <row r="16" spans="1:19" ht="9.9499999999999993" customHeight="1">
      <c r="A16" s="11"/>
      <c r="B16" s="5"/>
      <c r="C16" s="5"/>
      <c r="D16" s="5"/>
      <c r="E16" s="5"/>
      <c r="F16" s="5"/>
      <c r="G16" s="5"/>
      <c r="H16" s="5"/>
      <c r="I16" s="5"/>
      <c r="J16" s="5"/>
      <c r="K16" s="5"/>
      <c r="L16" s="12"/>
      <c r="M16" s="4"/>
      <c r="N16" s="4"/>
      <c r="O16" s="4"/>
      <c r="P16" s="4"/>
    </row>
    <row r="17" spans="1:19" ht="14.1" customHeight="1">
      <c r="A17" s="5"/>
      <c r="B17" s="289" t="s">
        <v>10</v>
      </c>
      <c r="C17" s="290"/>
      <c r="D17" s="5"/>
      <c r="E17" s="5"/>
      <c r="F17" s="5"/>
      <c r="G17" s="5"/>
      <c r="H17" s="5"/>
      <c r="I17" s="5"/>
      <c r="J17" s="5"/>
      <c r="K17" s="5"/>
      <c r="L17" s="5"/>
      <c r="M17" s="4"/>
      <c r="N17" s="4"/>
      <c r="O17" s="4"/>
      <c r="P17" s="4"/>
    </row>
    <row r="18" spans="1:19" ht="6" customHeight="1">
      <c r="A18" s="6"/>
      <c r="B18" s="273"/>
      <c r="C18" s="273"/>
      <c r="D18" s="7"/>
      <c r="E18" s="7"/>
      <c r="F18" s="7"/>
      <c r="G18" s="7"/>
      <c r="H18" s="7"/>
      <c r="I18" s="7"/>
      <c r="J18" s="7"/>
      <c r="K18" s="7"/>
      <c r="L18" s="8"/>
      <c r="M18" s="4"/>
      <c r="N18" s="4"/>
      <c r="O18" s="4"/>
      <c r="P18" s="4"/>
    </row>
    <row r="19" spans="1:19" ht="18" customHeight="1">
      <c r="A19" s="9"/>
      <c r="B19" s="291" t="s">
        <v>11</v>
      </c>
      <c r="C19" s="291"/>
      <c r="D19" s="291"/>
      <c r="E19" s="291" t="s">
        <v>12</v>
      </c>
      <c r="F19" s="292"/>
      <c r="G19" s="19"/>
      <c r="H19" s="19"/>
      <c r="I19" s="19"/>
      <c r="J19" s="19" t="s">
        <v>13</v>
      </c>
      <c r="K19" s="19" t="s">
        <v>14</v>
      </c>
      <c r="L19" s="10"/>
      <c r="M19" s="4"/>
      <c r="N19" s="4"/>
      <c r="O19" s="4"/>
      <c r="P19" s="4"/>
    </row>
    <row r="20" spans="1:19">
      <c r="A20" s="9"/>
      <c r="B20" s="287">
        <v>0</v>
      </c>
      <c r="C20" s="276"/>
      <c r="D20" s="276"/>
      <c r="E20" s="20" t="s">
        <v>43</v>
      </c>
      <c r="F20" s="3"/>
      <c r="G20" s="3"/>
      <c r="H20" s="3"/>
      <c r="I20" s="3"/>
      <c r="J20" s="21">
        <f>G38</f>
        <v>0</v>
      </c>
      <c r="K20" s="21">
        <f>K38</f>
        <v>0</v>
      </c>
      <c r="L20" s="10"/>
      <c r="M20" s="4"/>
      <c r="N20" s="4"/>
      <c r="O20" s="4"/>
      <c r="P20" s="4"/>
      <c r="S20" s="1">
        <f>S38</f>
        <v>0</v>
      </c>
    </row>
    <row r="21" spans="1:19">
      <c r="A21" s="9"/>
      <c r="B21" s="287">
        <v>1</v>
      </c>
      <c r="C21" s="276"/>
      <c r="D21" s="276"/>
      <c r="E21" s="20" t="s">
        <v>72</v>
      </c>
      <c r="F21" s="3"/>
      <c r="G21" s="3"/>
      <c r="H21" s="3"/>
      <c r="I21" s="3"/>
      <c r="J21" s="21">
        <f>G49</f>
        <v>0</v>
      </c>
      <c r="K21" s="21">
        <f>K49</f>
        <v>0</v>
      </c>
      <c r="L21" s="10"/>
      <c r="M21" s="4"/>
      <c r="N21" s="4"/>
      <c r="O21" s="4"/>
      <c r="P21" s="4"/>
      <c r="S21" s="1">
        <f>S49</f>
        <v>0</v>
      </c>
    </row>
    <row r="22" spans="1:19">
      <c r="A22" s="9"/>
      <c r="B22" s="287">
        <v>2</v>
      </c>
      <c r="C22" s="276"/>
      <c r="D22" s="276"/>
      <c r="E22" s="20" t="s">
        <v>118</v>
      </c>
      <c r="F22" s="3"/>
      <c r="G22" s="3"/>
      <c r="H22" s="3"/>
      <c r="I22" s="3"/>
      <c r="J22" s="21">
        <f>G60</f>
        <v>0</v>
      </c>
      <c r="K22" s="21">
        <f>K60</f>
        <v>0</v>
      </c>
      <c r="L22" s="10"/>
      <c r="M22" s="4"/>
      <c r="N22" s="4"/>
      <c r="O22" s="4"/>
      <c r="P22" s="4"/>
      <c r="S22" s="1">
        <f>S60</f>
        <v>0</v>
      </c>
    </row>
    <row r="23" spans="1:19">
      <c r="A23" s="9"/>
      <c r="B23" s="287">
        <v>4</v>
      </c>
      <c r="C23" s="276"/>
      <c r="D23" s="276"/>
      <c r="E23" s="20" t="s">
        <v>122</v>
      </c>
      <c r="F23" s="3"/>
      <c r="G23" s="3"/>
      <c r="H23" s="3"/>
      <c r="I23" s="3"/>
      <c r="J23" s="21">
        <f>G65</f>
        <v>0</v>
      </c>
      <c r="K23" s="21">
        <f>K65</f>
        <v>0</v>
      </c>
      <c r="L23" s="10"/>
      <c r="M23" s="4"/>
      <c r="N23" s="4"/>
      <c r="O23" s="4"/>
      <c r="P23" s="4"/>
      <c r="S23" s="1">
        <f>S65</f>
        <v>0</v>
      </c>
    </row>
    <row r="24" spans="1:19">
      <c r="A24" s="9"/>
      <c r="B24" s="287">
        <v>5</v>
      </c>
      <c r="C24" s="276"/>
      <c r="D24" s="276"/>
      <c r="E24" s="20" t="s">
        <v>152</v>
      </c>
      <c r="F24" s="3"/>
      <c r="G24" s="3"/>
      <c r="H24" s="3"/>
      <c r="I24" s="3"/>
      <c r="J24" s="21">
        <f>G100</f>
        <v>0</v>
      </c>
      <c r="K24" s="21">
        <f>K100</f>
        <v>0</v>
      </c>
      <c r="L24" s="10"/>
      <c r="M24" s="4"/>
      <c r="N24" s="4"/>
      <c r="O24" s="4"/>
      <c r="P24" s="4"/>
      <c r="S24" s="1">
        <f>S100</f>
        <v>0</v>
      </c>
    </row>
    <row r="25" spans="1:19">
      <c r="A25" s="9"/>
      <c r="B25" s="287">
        <v>8</v>
      </c>
      <c r="C25" s="276"/>
      <c r="D25" s="276"/>
      <c r="E25" s="20" t="s">
        <v>163</v>
      </c>
      <c r="F25" s="3"/>
      <c r="G25" s="3"/>
      <c r="H25" s="3"/>
      <c r="I25" s="3"/>
      <c r="J25" s="21">
        <f>G114</f>
        <v>0</v>
      </c>
      <c r="K25" s="21">
        <f>K114</f>
        <v>0</v>
      </c>
      <c r="L25" s="10"/>
      <c r="M25" s="4"/>
      <c r="N25" s="4"/>
      <c r="O25" s="4"/>
      <c r="P25" s="4"/>
      <c r="S25" s="1">
        <f>S114</f>
        <v>0</v>
      </c>
    </row>
    <row r="26" spans="1:19">
      <c r="A26" s="9"/>
      <c r="B26" s="287">
        <v>9</v>
      </c>
      <c r="C26" s="276"/>
      <c r="D26" s="276"/>
      <c r="E26" s="20" t="s">
        <v>87</v>
      </c>
      <c r="F26" s="3"/>
      <c r="G26" s="3"/>
      <c r="H26" s="3"/>
      <c r="I26" s="3"/>
      <c r="J26" s="21">
        <f>G128</f>
        <v>0</v>
      </c>
      <c r="K26" s="21">
        <f>K128</f>
        <v>0</v>
      </c>
      <c r="L26" s="10"/>
      <c r="M26" s="4"/>
      <c r="N26" s="4"/>
      <c r="O26" s="4"/>
      <c r="P26" s="4"/>
      <c r="S26" s="1">
        <f>S128</f>
        <v>0</v>
      </c>
    </row>
    <row r="27" spans="1:19">
      <c r="A27" s="11"/>
      <c r="B27" s="5"/>
      <c r="C27" s="5"/>
      <c r="D27" s="5"/>
      <c r="E27" s="5"/>
      <c r="F27" s="5"/>
      <c r="G27" s="5"/>
      <c r="H27" s="5"/>
      <c r="I27" s="5"/>
      <c r="J27" s="5"/>
      <c r="K27" s="5"/>
      <c r="L27" s="12"/>
      <c r="M27" s="4"/>
      <c r="N27" s="4"/>
      <c r="O27" s="4"/>
      <c r="P27" s="4"/>
    </row>
    <row r="28" spans="1:19" ht="14.1" customHeight="1">
      <c r="A28" s="5"/>
      <c r="B28" s="289" t="s">
        <v>15</v>
      </c>
      <c r="C28" s="290"/>
      <c r="D28" s="5"/>
      <c r="E28" s="5"/>
      <c r="F28" s="5"/>
      <c r="G28" s="5"/>
      <c r="H28" s="5"/>
      <c r="I28" s="5"/>
      <c r="J28" s="5"/>
      <c r="K28" s="5"/>
      <c r="L28" s="5"/>
      <c r="M28" s="4"/>
      <c r="N28" s="4"/>
      <c r="O28" s="4"/>
      <c r="P28" s="4"/>
    </row>
    <row r="29" spans="1:19" ht="18" customHeight="1">
      <c r="A29" s="6"/>
      <c r="B29" s="273"/>
      <c r="C29" s="273"/>
      <c r="D29" s="7"/>
      <c r="E29" s="7"/>
      <c r="F29" s="7"/>
      <c r="G29" s="7"/>
      <c r="H29" s="7"/>
      <c r="I29" s="7"/>
      <c r="J29" s="7"/>
      <c r="K29" s="7"/>
      <c r="L29" s="8"/>
      <c r="M29" s="4"/>
      <c r="N29" s="4"/>
      <c r="O29" s="4"/>
      <c r="P29" s="4"/>
    </row>
    <row r="30" spans="1:19" ht="18" customHeight="1">
      <c r="A30" s="9"/>
      <c r="B30" s="17" t="s">
        <v>16</v>
      </c>
      <c r="C30" s="17" t="s">
        <v>11</v>
      </c>
      <c r="D30" s="17" t="s">
        <v>17</v>
      </c>
      <c r="E30" s="17" t="s">
        <v>12</v>
      </c>
      <c r="F30" s="18" t="s">
        <v>18</v>
      </c>
      <c r="G30" s="19" t="s">
        <v>19</v>
      </c>
      <c r="H30" s="19" t="s">
        <v>20</v>
      </c>
      <c r="I30" s="19" t="s">
        <v>13</v>
      </c>
      <c r="J30" s="18" t="s">
        <v>21</v>
      </c>
      <c r="K30" s="19" t="s">
        <v>14</v>
      </c>
      <c r="L30" s="10"/>
      <c r="M30" s="4"/>
      <c r="N30" s="4"/>
      <c r="O30" s="4"/>
      <c r="P30" s="4"/>
    </row>
    <row r="31" spans="1:19" ht="39.950000000000003" customHeight="1">
      <c r="A31" s="9"/>
      <c r="B31" s="288" t="s">
        <v>42</v>
      </c>
      <c r="C31" s="276"/>
      <c r="D31" s="276"/>
      <c r="E31" s="276"/>
      <c r="F31" s="276"/>
      <c r="G31" s="276"/>
      <c r="H31" s="286"/>
      <c r="I31" s="276"/>
      <c r="J31" s="286"/>
      <c r="K31" s="276"/>
      <c r="L31" s="10"/>
      <c r="M31" s="4"/>
      <c r="N31" s="4"/>
      <c r="O31" s="4"/>
      <c r="P31" s="4"/>
    </row>
    <row r="32" spans="1:19">
      <c r="A32" s="9"/>
      <c r="B32" s="22">
        <v>1</v>
      </c>
      <c r="C32" s="23" t="s">
        <v>22</v>
      </c>
      <c r="D32" s="23"/>
      <c r="E32" s="23" t="s">
        <v>23</v>
      </c>
      <c r="F32" s="24" t="s">
        <v>24</v>
      </c>
      <c r="G32" s="25">
        <f>ROUND(92.5,3)</f>
        <v>92.5</v>
      </c>
      <c r="H32" s="40">
        <f>ROUND(0,2)</f>
        <v>0</v>
      </c>
      <c r="I32" s="26">
        <f>ROUND(H32*G32,2)</f>
        <v>0</v>
      </c>
      <c r="J32" s="45" t="s">
        <v>25</v>
      </c>
      <c r="K32" s="26">
        <f>IF(ISNUMBER(J32),ROUND(I32*(J32+1),2),0)</f>
        <v>0</v>
      </c>
      <c r="L32" s="10"/>
      <c r="M32" s="4"/>
      <c r="N32" s="4"/>
      <c r="O32" s="4"/>
      <c r="P32" s="4"/>
      <c r="Q32" s="1">
        <f>IF(ISNUMBER(J32),IF(G32&gt;0,IF(H32&gt;0,I32,0),0),0)</f>
        <v>0</v>
      </c>
      <c r="R32" s="1">
        <f>IF(ISNUMBER(J32)=FALSE,I32,0)</f>
        <v>0</v>
      </c>
    </row>
    <row r="33" spans="1:19">
      <c r="A33" s="9"/>
      <c r="B33" s="283" t="s">
        <v>27</v>
      </c>
      <c r="C33" s="276"/>
      <c r="D33" s="276"/>
      <c r="E33" s="27" t="s">
        <v>97</v>
      </c>
      <c r="F33" s="3"/>
      <c r="G33" s="3"/>
      <c r="H33" s="39"/>
      <c r="I33" s="3"/>
      <c r="J33" s="39"/>
      <c r="K33" s="3"/>
      <c r="L33" s="10"/>
      <c r="M33" s="4"/>
      <c r="N33" s="4"/>
      <c r="O33" s="4"/>
      <c r="P33" s="4"/>
    </row>
    <row r="34" spans="1:19" ht="13.5" thickBot="1">
      <c r="A34" s="9"/>
      <c r="B34" s="281" t="s">
        <v>28</v>
      </c>
      <c r="C34" s="282"/>
      <c r="D34" s="282"/>
      <c r="E34" s="29" t="s">
        <v>25</v>
      </c>
      <c r="F34" s="28"/>
      <c r="G34" s="28"/>
      <c r="H34" s="41"/>
      <c r="I34" s="28"/>
      <c r="J34" s="41"/>
      <c r="K34" s="28"/>
      <c r="L34" s="10"/>
      <c r="M34" s="4"/>
      <c r="N34" s="4"/>
      <c r="O34" s="4"/>
      <c r="P34" s="4"/>
    </row>
    <row r="35" spans="1:19" ht="13.5" thickTop="1">
      <c r="A35" s="9"/>
      <c r="B35" s="22">
        <v>2</v>
      </c>
      <c r="C35" s="23" t="s">
        <v>98</v>
      </c>
      <c r="D35" s="23" t="s">
        <v>25</v>
      </c>
      <c r="E35" s="23" t="s">
        <v>99</v>
      </c>
      <c r="F35" s="24" t="s">
        <v>40</v>
      </c>
      <c r="G35" s="30">
        <f>ROUND(2,3)</f>
        <v>2</v>
      </c>
      <c r="H35" s="42">
        <f>ROUND(0,2)</f>
        <v>0</v>
      </c>
      <c r="I35" s="31">
        <f>ROUND(H35*G35,2)</f>
        <v>0</v>
      </c>
      <c r="J35" s="46" t="s">
        <v>25</v>
      </c>
      <c r="K35" s="31">
        <f>IF(ISNUMBER(J35),ROUND(I35*(J35+1),2),0)</f>
        <v>0</v>
      </c>
      <c r="L35" s="10"/>
      <c r="M35" s="4"/>
      <c r="N35" s="4"/>
      <c r="O35" s="4"/>
      <c r="P35" s="4"/>
      <c r="Q35" s="1">
        <f>IF(ISNUMBER(J35),IF(G35&gt;0,IF(H35&gt;0,I35,0),0),0)</f>
        <v>0</v>
      </c>
      <c r="R35" s="1">
        <f>IF(ISNUMBER(J35)=FALSE,I35,0)</f>
        <v>0</v>
      </c>
    </row>
    <row r="36" spans="1:19">
      <c r="A36" s="9"/>
      <c r="B36" s="283" t="s">
        <v>27</v>
      </c>
      <c r="C36" s="276"/>
      <c r="D36" s="276"/>
      <c r="E36" s="27" t="s">
        <v>100</v>
      </c>
      <c r="F36" s="3"/>
      <c r="G36" s="3"/>
      <c r="H36" s="39"/>
      <c r="I36" s="3"/>
      <c r="J36" s="39"/>
      <c r="K36" s="3"/>
      <c r="L36" s="10"/>
      <c r="M36" s="4"/>
      <c r="N36" s="4"/>
      <c r="O36" s="4"/>
      <c r="P36" s="4"/>
    </row>
    <row r="37" spans="1:19" ht="13.5" thickBot="1">
      <c r="A37" s="9"/>
      <c r="B37" s="281" t="s">
        <v>28</v>
      </c>
      <c r="C37" s="282"/>
      <c r="D37" s="282"/>
      <c r="E37" s="29" t="s">
        <v>25</v>
      </c>
      <c r="F37" s="28"/>
      <c r="G37" s="28"/>
      <c r="H37" s="41"/>
      <c r="I37" s="28"/>
      <c r="J37" s="41"/>
      <c r="K37" s="28"/>
      <c r="L37" s="10"/>
      <c r="M37" s="4"/>
      <c r="N37" s="4"/>
      <c r="O37" s="4"/>
      <c r="P37" s="4"/>
    </row>
    <row r="38" spans="1:19" ht="24.95" customHeight="1" thickTop="1" thickBot="1">
      <c r="A38" s="9"/>
      <c r="B38" s="32"/>
      <c r="C38" s="33">
        <v>0</v>
      </c>
      <c r="D38" s="32"/>
      <c r="E38" s="34" t="s">
        <v>43</v>
      </c>
      <c r="F38" s="35" t="s">
        <v>44</v>
      </c>
      <c r="G38" s="36">
        <f>I32+I35</f>
        <v>0</v>
      </c>
      <c r="H38" s="43" t="s">
        <v>45</v>
      </c>
      <c r="I38" s="37">
        <f>IF(COUNT(J32:J38)&gt;0,AVERAGE(J32:J38),0.21)</f>
        <v>0.21</v>
      </c>
      <c r="J38" s="43" t="s">
        <v>46</v>
      </c>
      <c r="K38" s="36">
        <f>ROUND(Q38*(1+I38),2)+R38</f>
        <v>0</v>
      </c>
      <c r="L38" s="10"/>
      <c r="M38" s="4"/>
      <c r="N38" s="4"/>
      <c r="O38" s="4"/>
      <c r="P38" s="4"/>
      <c r="Q38" s="1">
        <f>0+Q32+Q35</f>
        <v>0</v>
      </c>
      <c r="R38" s="1">
        <f>0+R32+R35</f>
        <v>0</v>
      </c>
      <c r="S38" s="2">
        <f>Q38*(1+I38)+R38</f>
        <v>0</v>
      </c>
    </row>
    <row r="39" spans="1:19" ht="39.950000000000003" customHeight="1">
      <c r="A39" s="9"/>
      <c r="B39" s="284" t="s">
        <v>71</v>
      </c>
      <c r="C39" s="276"/>
      <c r="D39" s="276"/>
      <c r="E39" s="285"/>
      <c r="F39" s="276"/>
      <c r="G39" s="276"/>
      <c r="H39" s="286"/>
      <c r="I39" s="276"/>
      <c r="J39" s="286"/>
      <c r="K39" s="276"/>
      <c r="L39" s="10"/>
      <c r="M39" s="4"/>
      <c r="N39" s="4"/>
      <c r="O39" s="4"/>
      <c r="P39" s="4"/>
    </row>
    <row r="40" spans="1:19">
      <c r="A40" s="9"/>
      <c r="B40" s="22">
        <v>3</v>
      </c>
      <c r="C40" s="23" t="s">
        <v>101</v>
      </c>
      <c r="D40" s="23" t="s">
        <v>25</v>
      </c>
      <c r="E40" s="23" t="s">
        <v>102</v>
      </c>
      <c r="F40" s="24" t="s">
        <v>57</v>
      </c>
      <c r="G40" s="25">
        <f>ROUND(51.5,3)</f>
        <v>51.5</v>
      </c>
      <c r="H40" s="40">
        <f>ROUND(0,2)</f>
        <v>0</v>
      </c>
      <c r="I40" s="26">
        <f>ROUND(H40*G40,2)</f>
        <v>0</v>
      </c>
      <c r="J40" s="45" t="s">
        <v>25</v>
      </c>
      <c r="K40" s="26">
        <f>IF(ISNUMBER(J40),ROUND(I40*(J40+1),2),0)</f>
        <v>0</v>
      </c>
      <c r="L40" s="10"/>
      <c r="M40" s="4"/>
      <c r="N40" s="4"/>
      <c r="O40" s="4"/>
      <c r="P40" s="4"/>
      <c r="Q40" s="1">
        <f>IF(ISNUMBER(J40),IF(G40&gt;0,IF(H40&gt;0,I40,0),0),0)</f>
        <v>0</v>
      </c>
      <c r="R40" s="1">
        <f>IF(ISNUMBER(J40)=FALSE,I40,0)</f>
        <v>0</v>
      </c>
    </row>
    <row r="41" spans="1:19">
      <c r="A41" s="9"/>
      <c r="B41" s="283" t="s">
        <v>27</v>
      </c>
      <c r="C41" s="276"/>
      <c r="D41" s="276"/>
      <c r="E41" s="27" t="s">
        <v>103</v>
      </c>
      <c r="F41" s="3"/>
      <c r="G41" s="3"/>
      <c r="H41" s="39"/>
      <c r="I41" s="3"/>
      <c r="J41" s="39"/>
      <c r="K41" s="3"/>
      <c r="L41" s="10"/>
      <c r="M41" s="4"/>
      <c r="N41" s="4"/>
      <c r="O41" s="4"/>
      <c r="P41" s="4"/>
    </row>
    <row r="42" spans="1:19" ht="13.5" thickBot="1">
      <c r="A42" s="9"/>
      <c r="B42" s="281" t="s">
        <v>28</v>
      </c>
      <c r="C42" s="282"/>
      <c r="D42" s="282"/>
      <c r="E42" s="29" t="s">
        <v>25</v>
      </c>
      <c r="F42" s="28"/>
      <c r="G42" s="28"/>
      <c r="H42" s="41"/>
      <c r="I42" s="28"/>
      <c r="J42" s="41"/>
      <c r="K42" s="28"/>
      <c r="L42" s="10"/>
      <c r="M42" s="4"/>
      <c r="N42" s="4"/>
      <c r="O42" s="4"/>
      <c r="P42" s="4"/>
    </row>
    <row r="43" spans="1:19" ht="13.5" thickTop="1">
      <c r="A43" s="9"/>
      <c r="B43" s="22">
        <v>4</v>
      </c>
      <c r="C43" s="23" t="s">
        <v>104</v>
      </c>
      <c r="D43" s="23" t="s">
        <v>25</v>
      </c>
      <c r="E43" s="23" t="s">
        <v>105</v>
      </c>
      <c r="F43" s="24" t="s">
        <v>57</v>
      </c>
      <c r="G43" s="30">
        <f>ROUND(63,3)</f>
        <v>63</v>
      </c>
      <c r="H43" s="42">
        <f>ROUND(0,2)</f>
        <v>0</v>
      </c>
      <c r="I43" s="31">
        <f>ROUND(H43*G43,2)</f>
        <v>0</v>
      </c>
      <c r="J43" s="46" t="s">
        <v>25</v>
      </c>
      <c r="K43" s="31">
        <f>IF(ISNUMBER(J43),ROUND(I43*(J43+1),2),0)</f>
        <v>0</v>
      </c>
      <c r="L43" s="10"/>
      <c r="M43" s="4"/>
      <c r="N43" s="4"/>
      <c r="O43" s="4"/>
      <c r="P43" s="4"/>
      <c r="Q43" s="1">
        <f>IF(ISNUMBER(J43),IF(G43&gt;0,IF(H43&gt;0,I43,0),0),0)</f>
        <v>0</v>
      </c>
      <c r="R43" s="1">
        <f>IF(ISNUMBER(J43)=FALSE,I43,0)</f>
        <v>0</v>
      </c>
    </row>
    <row r="44" spans="1:19">
      <c r="A44" s="9"/>
      <c r="B44" s="283" t="s">
        <v>27</v>
      </c>
      <c r="C44" s="276"/>
      <c r="D44" s="276"/>
      <c r="E44" s="27" t="s">
        <v>106</v>
      </c>
      <c r="F44" s="3"/>
      <c r="G44" s="3"/>
      <c r="H44" s="39"/>
      <c r="I44" s="3"/>
      <c r="J44" s="39"/>
      <c r="K44" s="3"/>
      <c r="L44" s="10"/>
      <c r="M44" s="4"/>
      <c r="N44" s="4"/>
      <c r="O44" s="4"/>
      <c r="P44" s="4"/>
    </row>
    <row r="45" spans="1:19" ht="13.5" thickBot="1">
      <c r="A45" s="9"/>
      <c r="B45" s="281" t="s">
        <v>28</v>
      </c>
      <c r="C45" s="282"/>
      <c r="D45" s="282"/>
      <c r="E45" s="29" t="s">
        <v>25</v>
      </c>
      <c r="F45" s="28"/>
      <c r="G45" s="28"/>
      <c r="H45" s="41"/>
      <c r="I45" s="28"/>
      <c r="J45" s="41"/>
      <c r="K45" s="28"/>
      <c r="L45" s="10"/>
      <c r="M45" s="4"/>
      <c r="N45" s="4"/>
      <c r="O45" s="4"/>
      <c r="P45" s="4"/>
    </row>
    <row r="46" spans="1:19" ht="13.5" thickTop="1">
      <c r="A46" s="9"/>
      <c r="B46" s="22">
        <v>5</v>
      </c>
      <c r="C46" s="23" t="s">
        <v>107</v>
      </c>
      <c r="D46" s="23" t="s">
        <v>25</v>
      </c>
      <c r="E46" s="23" t="s">
        <v>108</v>
      </c>
      <c r="F46" s="24" t="s">
        <v>49</v>
      </c>
      <c r="G46" s="30">
        <f>ROUND(625,3)</f>
        <v>625</v>
      </c>
      <c r="H46" s="42">
        <f>ROUND(0,2)</f>
        <v>0</v>
      </c>
      <c r="I46" s="31">
        <f>ROUND(H46*G46,2)</f>
        <v>0</v>
      </c>
      <c r="J46" s="46" t="s">
        <v>25</v>
      </c>
      <c r="K46" s="31">
        <f>IF(ISNUMBER(J46),ROUND(I46*(J46+1),2),0)</f>
        <v>0</v>
      </c>
      <c r="L46" s="10"/>
      <c r="M46" s="4"/>
      <c r="N46" s="4"/>
      <c r="O46" s="4"/>
      <c r="P46" s="4"/>
      <c r="Q46" s="1">
        <f>IF(ISNUMBER(J46),IF(G46&gt;0,IF(H46&gt;0,I46,0),0),0)</f>
        <v>0</v>
      </c>
      <c r="R46" s="1">
        <f>IF(ISNUMBER(J46)=FALSE,I46,0)</f>
        <v>0</v>
      </c>
    </row>
    <row r="47" spans="1:19">
      <c r="A47" s="9"/>
      <c r="B47" s="283" t="s">
        <v>27</v>
      </c>
      <c r="C47" s="276"/>
      <c r="D47" s="276"/>
      <c r="E47" s="27" t="s">
        <v>25</v>
      </c>
      <c r="F47" s="3"/>
      <c r="G47" s="3"/>
      <c r="H47" s="39"/>
      <c r="I47" s="3"/>
      <c r="J47" s="39"/>
      <c r="K47" s="3"/>
      <c r="L47" s="10"/>
      <c r="M47" s="4"/>
      <c r="N47" s="4"/>
      <c r="O47" s="4"/>
      <c r="P47" s="4"/>
    </row>
    <row r="48" spans="1:19" ht="13.5" thickBot="1">
      <c r="A48" s="9"/>
      <c r="B48" s="281" t="s">
        <v>28</v>
      </c>
      <c r="C48" s="282"/>
      <c r="D48" s="282"/>
      <c r="E48" s="29" t="s">
        <v>25</v>
      </c>
      <c r="F48" s="28"/>
      <c r="G48" s="28"/>
      <c r="H48" s="41"/>
      <c r="I48" s="28"/>
      <c r="J48" s="41"/>
      <c r="K48" s="28"/>
      <c r="L48" s="10"/>
      <c r="M48" s="4"/>
      <c r="N48" s="4"/>
      <c r="O48" s="4"/>
      <c r="P48" s="4"/>
    </row>
    <row r="49" spans="1:19" ht="24.95" customHeight="1" thickTop="1" thickBot="1">
      <c r="A49" s="9"/>
      <c r="B49" s="32"/>
      <c r="C49" s="33">
        <v>1</v>
      </c>
      <c r="D49" s="32"/>
      <c r="E49" s="34" t="s">
        <v>72</v>
      </c>
      <c r="F49" s="35" t="s">
        <v>44</v>
      </c>
      <c r="G49" s="36">
        <f>I40+I43+I46</f>
        <v>0</v>
      </c>
      <c r="H49" s="43" t="s">
        <v>45</v>
      </c>
      <c r="I49" s="37">
        <f>IF(COUNT(J40:J49)&gt;0,AVERAGE(J40:J49),0.21)</f>
        <v>0.21</v>
      </c>
      <c r="J49" s="43" t="s">
        <v>46</v>
      </c>
      <c r="K49" s="36">
        <f>ROUND(Q49*(1+I49),2)+R49</f>
        <v>0</v>
      </c>
      <c r="L49" s="10"/>
      <c r="M49" s="4"/>
      <c r="N49" s="4"/>
      <c r="O49" s="4"/>
      <c r="P49" s="4"/>
      <c r="Q49" s="1">
        <f>0+Q40+Q43+Q46</f>
        <v>0</v>
      </c>
      <c r="R49" s="1">
        <f>0+R40+R43+R46</f>
        <v>0</v>
      </c>
      <c r="S49" s="2">
        <f>Q49*(1+I49)+R49</f>
        <v>0</v>
      </c>
    </row>
    <row r="50" spans="1:19" ht="39.950000000000003" customHeight="1">
      <c r="A50" s="9"/>
      <c r="B50" s="284" t="s">
        <v>117</v>
      </c>
      <c r="C50" s="276"/>
      <c r="D50" s="276"/>
      <c r="E50" s="285"/>
      <c r="F50" s="276"/>
      <c r="G50" s="276"/>
      <c r="H50" s="286"/>
      <c r="I50" s="276"/>
      <c r="J50" s="286"/>
      <c r="K50" s="276"/>
      <c r="L50" s="10"/>
      <c r="M50" s="4"/>
      <c r="N50" s="4"/>
      <c r="O50" s="4"/>
      <c r="P50" s="4"/>
    </row>
    <row r="51" spans="1:19">
      <c r="A51" s="9"/>
      <c r="B51" s="22">
        <v>6</v>
      </c>
      <c r="C51" s="23" t="s">
        <v>109</v>
      </c>
      <c r="D51" s="23" t="s">
        <v>25</v>
      </c>
      <c r="E51" s="23" t="s">
        <v>110</v>
      </c>
      <c r="F51" s="24" t="s">
        <v>64</v>
      </c>
      <c r="G51" s="25">
        <f>ROUND(46.5,3)</f>
        <v>46.5</v>
      </c>
      <c r="H51" s="40">
        <f>ROUND(0,2)</f>
        <v>0</v>
      </c>
      <c r="I51" s="26">
        <f>ROUND(H51*G51,2)</f>
        <v>0</v>
      </c>
      <c r="J51" s="45" t="s">
        <v>25</v>
      </c>
      <c r="K51" s="26">
        <f>IF(ISNUMBER(J51),ROUND(I51*(J51+1),2),0)</f>
        <v>0</v>
      </c>
      <c r="L51" s="10"/>
      <c r="M51" s="4"/>
      <c r="N51" s="4"/>
      <c r="O51" s="4"/>
      <c r="P51" s="4"/>
      <c r="Q51" s="1">
        <f>IF(ISNUMBER(J51),IF(G51&gt;0,IF(H51&gt;0,I51,0),0),0)</f>
        <v>0</v>
      </c>
      <c r="R51" s="1">
        <f>IF(ISNUMBER(J51)=FALSE,I51,0)</f>
        <v>0</v>
      </c>
    </row>
    <row r="52" spans="1:19">
      <c r="A52" s="9"/>
      <c r="B52" s="283" t="s">
        <v>27</v>
      </c>
      <c r="C52" s="276"/>
      <c r="D52" s="276"/>
      <c r="E52" s="27" t="s">
        <v>25</v>
      </c>
      <c r="F52" s="3"/>
      <c r="G52" s="3"/>
      <c r="H52" s="39"/>
      <c r="I52" s="3"/>
      <c r="J52" s="39"/>
      <c r="K52" s="3"/>
      <c r="L52" s="10"/>
      <c r="M52" s="4"/>
      <c r="N52" s="4"/>
      <c r="O52" s="4"/>
      <c r="P52" s="4"/>
    </row>
    <row r="53" spans="1:19" ht="13.5" thickBot="1">
      <c r="A53" s="9"/>
      <c r="B53" s="281" t="s">
        <v>28</v>
      </c>
      <c r="C53" s="282"/>
      <c r="D53" s="282"/>
      <c r="E53" s="29" t="s">
        <v>25</v>
      </c>
      <c r="F53" s="28"/>
      <c r="G53" s="28"/>
      <c r="H53" s="41"/>
      <c r="I53" s="28"/>
      <c r="J53" s="41"/>
      <c r="K53" s="28"/>
      <c r="L53" s="10"/>
      <c r="M53" s="4"/>
      <c r="N53" s="4"/>
      <c r="O53" s="4"/>
      <c r="P53" s="4"/>
    </row>
    <row r="54" spans="1:19" ht="13.5" thickTop="1">
      <c r="A54" s="9"/>
      <c r="B54" s="22">
        <v>7</v>
      </c>
      <c r="C54" s="23" t="s">
        <v>111</v>
      </c>
      <c r="D54" s="23" t="s">
        <v>25</v>
      </c>
      <c r="E54" s="23" t="s">
        <v>112</v>
      </c>
      <c r="F54" s="24" t="s">
        <v>49</v>
      </c>
      <c r="G54" s="30">
        <f>ROUND(59,3)</f>
        <v>59</v>
      </c>
      <c r="H54" s="42">
        <f>ROUND(0,2)</f>
        <v>0</v>
      </c>
      <c r="I54" s="31">
        <f>ROUND(H54*G54,2)</f>
        <v>0</v>
      </c>
      <c r="J54" s="46" t="s">
        <v>25</v>
      </c>
      <c r="K54" s="31">
        <f>IF(ISNUMBER(J54),ROUND(I54*(J54+1),2),0)</f>
        <v>0</v>
      </c>
      <c r="L54" s="10"/>
      <c r="M54" s="4"/>
      <c r="N54" s="4"/>
      <c r="O54" s="4"/>
      <c r="P54" s="4"/>
      <c r="Q54" s="1">
        <f>IF(ISNUMBER(J54),IF(G54&gt;0,IF(H54&gt;0,I54,0),0),0)</f>
        <v>0</v>
      </c>
      <c r="R54" s="1">
        <f>IF(ISNUMBER(J54)=FALSE,I54,0)</f>
        <v>0</v>
      </c>
    </row>
    <row r="55" spans="1:19">
      <c r="A55" s="9"/>
      <c r="B55" s="283" t="s">
        <v>27</v>
      </c>
      <c r="C55" s="276"/>
      <c r="D55" s="276"/>
      <c r="E55" s="27" t="s">
        <v>113</v>
      </c>
      <c r="F55" s="3"/>
      <c r="G55" s="3"/>
      <c r="H55" s="39"/>
      <c r="I55" s="3"/>
      <c r="J55" s="39"/>
      <c r="K55" s="3"/>
      <c r="L55" s="10"/>
      <c r="M55" s="4"/>
      <c r="N55" s="4"/>
      <c r="O55" s="4"/>
      <c r="P55" s="4"/>
    </row>
    <row r="56" spans="1:19" ht="13.5" thickBot="1">
      <c r="A56" s="9"/>
      <c r="B56" s="281" t="s">
        <v>28</v>
      </c>
      <c r="C56" s="282"/>
      <c r="D56" s="282"/>
      <c r="E56" s="29" t="s">
        <v>25</v>
      </c>
      <c r="F56" s="28"/>
      <c r="G56" s="28"/>
      <c r="H56" s="41"/>
      <c r="I56" s="28"/>
      <c r="J56" s="41"/>
      <c r="K56" s="28"/>
      <c r="L56" s="10"/>
      <c r="M56" s="4"/>
      <c r="N56" s="4"/>
      <c r="O56" s="4"/>
      <c r="P56" s="4"/>
    </row>
    <row r="57" spans="1:19" ht="13.5" thickTop="1">
      <c r="A57" s="9"/>
      <c r="B57" s="22">
        <v>8</v>
      </c>
      <c r="C57" s="23" t="s">
        <v>114</v>
      </c>
      <c r="D57" s="23" t="s">
        <v>25</v>
      </c>
      <c r="E57" s="23" t="s">
        <v>115</v>
      </c>
      <c r="F57" s="24" t="s">
        <v>49</v>
      </c>
      <c r="G57" s="30">
        <f>ROUND(8.5,3)</f>
        <v>8.5</v>
      </c>
      <c r="H57" s="42">
        <f>ROUND(0,2)</f>
        <v>0</v>
      </c>
      <c r="I57" s="31">
        <f>ROUND(H57*G57,2)</f>
        <v>0</v>
      </c>
      <c r="J57" s="46" t="s">
        <v>25</v>
      </c>
      <c r="K57" s="31">
        <f>IF(ISNUMBER(J57),ROUND(I57*(J57+1),2),0)</f>
        <v>0</v>
      </c>
      <c r="L57" s="10"/>
      <c r="M57" s="4"/>
      <c r="N57" s="4"/>
      <c r="O57" s="4"/>
      <c r="P57" s="4"/>
      <c r="Q57" s="1">
        <f>IF(ISNUMBER(J57),IF(G57&gt;0,IF(H57&gt;0,I57,0),0),0)</f>
        <v>0</v>
      </c>
      <c r="R57" s="1">
        <f>IF(ISNUMBER(J57)=FALSE,I57,0)</f>
        <v>0</v>
      </c>
    </row>
    <row r="58" spans="1:19">
      <c r="A58" s="9"/>
      <c r="B58" s="283" t="s">
        <v>27</v>
      </c>
      <c r="C58" s="276"/>
      <c r="D58" s="276"/>
      <c r="E58" s="27" t="s">
        <v>116</v>
      </c>
      <c r="F58" s="3"/>
      <c r="G58" s="3"/>
      <c r="H58" s="39"/>
      <c r="I58" s="3"/>
      <c r="J58" s="39"/>
      <c r="K58" s="3"/>
      <c r="L58" s="10"/>
      <c r="M58" s="4"/>
      <c r="N58" s="4"/>
      <c r="O58" s="4"/>
      <c r="P58" s="4"/>
    </row>
    <row r="59" spans="1:19" ht="13.5" thickBot="1">
      <c r="A59" s="9"/>
      <c r="B59" s="281" t="s">
        <v>28</v>
      </c>
      <c r="C59" s="282"/>
      <c r="D59" s="282"/>
      <c r="E59" s="29" t="s">
        <v>25</v>
      </c>
      <c r="F59" s="28"/>
      <c r="G59" s="28"/>
      <c r="H59" s="41"/>
      <c r="I59" s="28"/>
      <c r="J59" s="41"/>
      <c r="K59" s="28"/>
      <c r="L59" s="10"/>
      <c r="M59" s="4"/>
      <c r="N59" s="4"/>
      <c r="O59" s="4"/>
      <c r="P59" s="4"/>
    </row>
    <row r="60" spans="1:19" ht="24.95" customHeight="1" thickTop="1" thickBot="1">
      <c r="A60" s="9"/>
      <c r="B60" s="32"/>
      <c r="C60" s="33">
        <v>2</v>
      </c>
      <c r="D60" s="32"/>
      <c r="E60" s="34" t="s">
        <v>118</v>
      </c>
      <c r="F60" s="35" t="s">
        <v>44</v>
      </c>
      <c r="G60" s="36">
        <f>I51+I54+I57</f>
        <v>0</v>
      </c>
      <c r="H60" s="43" t="s">
        <v>45</v>
      </c>
      <c r="I60" s="37">
        <f>IF(COUNT(J51:J60)&gt;0,AVERAGE(J51:J60),0.21)</f>
        <v>0.21</v>
      </c>
      <c r="J60" s="43" t="s">
        <v>46</v>
      </c>
      <c r="K60" s="36">
        <f>ROUND(Q60*(1+I60),2)+R60</f>
        <v>0</v>
      </c>
      <c r="L60" s="10"/>
      <c r="M60" s="4"/>
      <c r="N60" s="4"/>
      <c r="O60" s="4"/>
      <c r="P60" s="4"/>
      <c r="Q60" s="1">
        <f>0+Q51+Q54+Q57</f>
        <v>0</v>
      </c>
      <c r="R60" s="1">
        <f>0+R51+R54+R57</f>
        <v>0</v>
      </c>
      <c r="S60" s="2">
        <f>Q60*(1+I60)+R60</f>
        <v>0</v>
      </c>
    </row>
    <row r="61" spans="1:19" ht="39.950000000000003" customHeight="1">
      <c r="A61" s="9"/>
      <c r="B61" s="284" t="s">
        <v>121</v>
      </c>
      <c r="C61" s="276"/>
      <c r="D61" s="276"/>
      <c r="E61" s="285"/>
      <c r="F61" s="276"/>
      <c r="G61" s="276"/>
      <c r="H61" s="286"/>
      <c r="I61" s="276"/>
      <c r="J61" s="286"/>
      <c r="K61" s="276"/>
      <c r="L61" s="10"/>
      <c r="M61" s="4"/>
      <c r="N61" s="4"/>
      <c r="O61" s="4"/>
      <c r="P61" s="4"/>
    </row>
    <row r="62" spans="1:19">
      <c r="A62" s="9"/>
      <c r="B62" s="22">
        <v>9</v>
      </c>
      <c r="C62" s="23" t="s">
        <v>119</v>
      </c>
      <c r="D62" s="23" t="s">
        <v>25</v>
      </c>
      <c r="E62" s="23" t="s">
        <v>120</v>
      </c>
      <c r="F62" s="24" t="s">
        <v>49</v>
      </c>
      <c r="G62" s="25">
        <f>ROUND(16,3)</f>
        <v>16</v>
      </c>
      <c r="H62" s="40">
        <f>ROUND(0,2)</f>
        <v>0</v>
      </c>
      <c r="I62" s="26">
        <f>ROUND(H62*G62,2)</f>
        <v>0</v>
      </c>
      <c r="J62" s="45" t="s">
        <v>25</v>
      </c>
      <c r="K62" s="26">
        <f>IF(ISNUMBER(J62),ROUND(I62*(J62+1),2),0)</f>
        <v>0</v>
      </c>
      <c r="L62" s="10"/>
      <c r="M62" s="4"/>
      <c r="N62" s="4"/>
      <c r="O62" s="4"/>
      <c r="P62" s="4"/>
      <c r="Q62" s="1">
        <f>IF(ISNUMBER(J62),IF(G62&gt;0,IF(H62&gt;0,I62,0),0),0)</f>
        <v>0</v>
      </c>
      <c r="R62" s="1">
        <f>IF(ISNUMBER(J62)=FALSE,I62,0)</f>
        <v>0</v>
      </c>
    </row>
    <row r="63" spans="1:19">
      <c r="A63" s="9"/>
      <c r="B63" s="283" t="s">
        <v>27</v>
      </c>
      <c r="C63" s="276"/>
      <c r="D63" s="276"/>
      <c r="E63" s="27" t="s">
        <v>25</v>
      </c>
      <c r="F63" s="3"/>
      <c r="G63" s="3"/>
      <c r="H63" s="39"/>
      <c r="I63" s="3"/>
      <c r="J63" s="39"/>
      <c r="K63" s="3"/>
      <c r="L63" s="10"/>
      <c r="M63" s="4"/>
      <c r="N63" s="4"/>
      <c r="O63" s="4"/>
      <c r="P63" s="4"/>
    </row>
    <row r="64" spans="1:19" ht="13.5" thickBot="1">
      <c r="A64" s="9"/>
      <c r="B64" s="281" t="s">
        <v>28</v>
      </c>
      <c r="C64" s="282"/>
      <c r="D64" s="282"/>
      <c r="E64" s="29" t="s">
        <v>25</v>
      </c>
      <c r="F64" s="28"/>
      <c r="G64" s="28"/>
      <c r="H64" s="41"/>
      <c r="I64" s="28"/>
      <c r="J64" s="41"/>
      <c r="K64" s="28"/>
      <c r="L64" s="10"/>
      <c r="M64" s="4"/>
      <c r="N64" s="4"/>
      <c r="O64" s="4"/>
      <c r="P64" s="4"/>
    </row>
    <row r="65" spans="1:19" ht="24.95" customHeight="1" thickTop="1" thickBot="1">
      <c r="A65" s="9"/>
      <c r="B65" s="32"/>
      <c r="C65" s="33">
        <v>4</v>
      </c>
      <c r="D65" s="32"/>
      <c r="E65" s="34" t="s">
        <v>122</v>
      </c>
      <c r="F65" s="35" t="s">
        <v>44</v>
      </c>
      <c r="G65" s="36">
        <f>0+I62</f>
        <v>0</v>
      </c>
      <c r="H65" s="43" t="s">
        <v>45</v>
      </c>
      <c r="I65" s="37">
        <f>IF(COUNT(J62:J65)&gt;0,AVERAGE(J62:J65),0.21)</f>
        <v>0.21</v>
      </c>
      <c r="J65" s="43" t="s">
        <v>46</v>
      </c>
      <c r="K65" s="36">
        <f>ROUND(Q65*(1+I65),2)+R65</f>
        <v>0</v>
      </c>
      <c r="L65" s="10"/>
      <c r="M65" s="4"/>
      <c r="N65" s="4"/>
      <c r="O65" s="4"/>
      <c r="P65" s="4"/>
      <c r="Q65" s="1">
        <f>0+Q62</f>
        <v>0</v>
      </c>
      <c r="R65" s="1">
        <f>0+R62</f>
        <v>0</v>
      </c>
      <c r="S65" s="2">
        <f>Q65*(1+I65)+R65</f>
        <v>0</v>
      </c>
    </row>
    <row r="66" spans="1:19" ht="39.950000000000003" customHeight="1">
      <c r="A66" s="9"/>
      <c r="B66" s="284" t="s">
        <v>151</v>
      </c>
      <c r="C66" s="276"/>
      <c r="D66" s="276"/>
      <c r="E66" s="285"/>
      <c r="F66" s="276"/>
      <c r="G66" s="276"/>
      <c r="H66" s="286"/>
      <c r="I66" s="276"/>
      <c r="J66" s="286"/>
      <c r="K66" s="276"/>
      <c r="L66" s="10"/>
      <c r="M66" s="4"/>
      <c r="N66" s="4"/>
      <c r="O66" s="4"/>
      <c r="P66" s="4"/>
    </row>
    <row r="67" spans="1:19">
      <c r="A67" s="9"/>
      <c r="B67" s="22">
        <v>10</v>
      </c>
      <c r="C67" s="23" t="s">
        <v>123</v>
      </c>
      <c r="D67" s="23" t="s">
        <v>25</v>
      </c>
      <c r="E67" s="23" t="s">
        <v>124</v>
      </c>
      <c r="F67" s="24" t="s">
        <v>49</v>
      </c>
      <c r="G67" s="25">
        <f>ROUND(134,3)</f>
        <v>134</v>
      </c>
      <c r="H67" s="40">
        <f>ROUND(0,2)</f>
        <v>0</v>
      </c>
      <c r="I67" s="26">
        <f>ROUND(H67*G67,2)</f>
        <v>0</v>
      </c>
      <c r="J67" s="45" t="s">
        <v>25</v>
      </c>
      <c r="K67" s="26">
        <f>IF(ISNUMBER(J67),ROUND(I67*(J67+1),2),0)</f>
        <v>0</v>
      </c>
      <c r="L67" s="10"/>
      <c r="M67" s="4"/>
      <c r="N67" s="4"/>
      <c r="O67" s="4"/>
      <c r="P67" s="4"/>
      <c r="Q67" s="1">
        <f>IF(ISNUMBER(J67),IF(G67&gt;0,IF(H67&gt;0,I67,0),0),0)</f>
        <v>0</v>
      </c>
      <c r="R67" s="1">
        <f>IF(ISNUMBER(J67)=FALSE,I67,0)</f>
        <v>0</v>
      </c>
    </row>
    <row r="68" spans="1:19">
      <c r="A68" s="9"/>
      <c r="B68" s="283" t="s">
        <v>27</v>
      </c>
      <c r="C68" s="276"/>
      <c r="D68" s="276"/>
      <c r="E68" s="27" t="s">
        <v>125</v>
      </c>
      <c r="F68" s="3"/>
      <c r="G68" s="3"/>
      <c r="H68" s="39"/>
      <c r="I68" s="3"/>
      <c r="J68" s="39"/>
      <c r="K68" s="3"/>
      <c r="L68" s="10"/>
      <c r="M68" s="4"/>
      <c r="N68" s="4"/>
      <c r="O68" s="4"/>
      <c r="P68" s="4"/>
    </row>
    <row r="69" spans="1:19" ht="13.5" thickBot="1">
      <c r="A69" s="9"/>
      <c r="B69" s="281" t="s">
        <v>28</v>
      </c>
      <c r="C69" s="282"/>
      <c r="D69" s="282"/>
      <c r="E69" s="29" t="s">
        <v>25</v>
      </c>
      <c r="F69" s="28"/>
      <c r="G69" s="28"/>
      <c r="H69" s="41"/>
      <c r="I69" s="28"/>
      <c r="J69" s="41"/>
      <c r="K69" s="28"/>
      <c r="L69" s="10"/>
      <c r="M69" s="4"/>
      <c r="N69" s="4"/>
      <c r="O69" s="4"/>
      <c r="P69" s="4"/>
    </row>
    <row r="70" spans="1:19" ht="13.5" thickTop="1">
      <c r="A70" s="9"/>
      <c r="B70" s="22">
        <v>11</v>
      </c>
      <c r="C70" s="23" t="s">
        <v>126</v>
      </c>
      <c r="D70" s="23" t="s">
        <v>25</v>
      </c>
      <c r="E70" s="23" t="s">
        <v>127</v>
      </c>
      <c r="F70" s="24" t="s">
        <v>49</v>
      </c>
      <c r="G70" s="30">
        <f>ROUND(520,3)</f>
        <v>520</v>
      </c>
      <c r="H70" s="42">
        <f>ROUND(0,2)</f>
        <v>0</v>
      </c>
      <c r="I70" s="31">
        <f>ROUND(H70*G70,2)</f>
        <v>0</v>
      </c>
      <c r="J70" s="46" t="s">
        <v>25</v>
      </c>
      <c r="K70" s="31">
        <f>IF(ISNUMBER(J70),ROUND(I70*(J70+1),2),0)</f>
        <v>0</v>
      </c>
      <c r="L70" s="10"/>
      <c r="M70" s="4"/>
      <c r="N70" s="4"/>
      <c r="O70" s="4"/>
      <c r="P70" s="4"/>
      <c r="Q70" s="1">
        <f>IF(ISNUMBER(J70),IF(G70&gt;0,IF(H70&gt;0,I70,0),0),0)</f>
        <v>0</v>
      </c>
      <c r="R70" s="1">
        <f>IF(ISNUMBER(J70)=FALSE,I70,0)</f>
        <v>0</v>
      </c>
    </row>
    <row r="71" spans="1:19">
      <c r="A71" s="9"/>
      <c r="B71" s="283" t="s">
        <v>27</v>
      </c>
      <c r="C71" s="276"/>
      <c r="D71" s="276"/>
      <c r="E71" s="27" t="s">
        <v>128</v>
      </c>
      <c r="F71" s="3"/>
      <c r="G71" s="3"/>
      <c r="H71" s="39"/>
      <c r="I71" s="3"/>
      <c r="J71" s="39"/>
      <c r="K71" s="3"/>
      <c r="L71" s="10"/>
      <c r="M71" s="4"/>
      <c r="N71" s="4"/>
      <c r="O71" s="4"/>
      <c r="P71" s="4"/>
    </row>
    <row r="72" spans="1:19" ht="13.5" thickBot="1">
      <c r="A72" s="9"/>
      <c r="B72" s="281" t="s">
        <v>28</v>
      </c>
      <c r="C72" s="282"/>
      <c r="D72" s="282"/>
      <c r="E72" s="29" t="s">
        <v>25</v>
      </c>
      <c r="F72" s="28"/>
      <c r="G72" s="28"/>
      <c r="H72" s="41"/>
      <c r="I72" s="28"/>
      <c r="J72" s="41"/>
      <c r="K72" s="28"/>
      <c r="L72" s="10"/>
      <c r="M72" s="4"/>
      <c r="N72" s="4"/>
      <c r="O72" s="4"/>
      <c r="P72" s="4"/>
    </row>
    <row r="73" spans="1:19" ht="13.5" thickTop="1">
      <c r="A73" s="9"/>
      <c r="B73" s="22">
        <v>12</v>
      </c>
      <c r="C73" s="23" t="s">
        <v>129</v>
      </c>
      <c r="D73" s="23" t="s">
        <v>25</v>
      </c>
      <c r="E73" s="23" t="s">
        <v>130</v>
      </c>
      <c r="F73" s="24" t="s">
        <v>49</v>
      </c>
      <c r="G73" s="30">
        <f>ROUND(520,3)</f>
        <v>520</v>
      </c>
      <c r="H73" s="42">
        <f>ROUND(0,2)</f>
        <v>0</v>
      </c>
      <c r="I73" s="31">
        <f>ROUND(H73*G73,2)</f>
        <v>0</v>
      </c>
      <c r="J73" s="46" t="s">
        <v>25</v>
      </c>
      <c r="K73" s="31">
        <f>IF(ISNUMBER(J73),ROUND(I73*(J73+1),2),0)</f>
        <v>0</v>
      </c>
      <c r="L73" s="10"/>
      <c r="M73" s="4"/>
      <c r="N73" s="4"/>
      <c r="O73" s="4"/>
      <c r="P73" s="4"/>
      <c r="Q73" s="1">
        <f>IF(ISNUMBER(J73),IF(G73&gt;0,IF(H73&gt;0,I73,0),0),0)</f>
        <v>0</v>
      </c>
      <c r="R73" s="1">
        <f>IF(ISNUMBER(J73)=FALSE,I73,0)</f>
        <v>0</v>
      </c>
    </row>
    <row r="74" spans="1:19">
      <c r="A74" s="9"/>
      <c r="B74" s="283" t="s">
        <v>27</v>
      </c>
      <c r="C74" s="276"/>
      <c r="D74" s="276"/>
      <c r="E74" s="27" t="s">
        <v>131</v>
      </c>
      <c r="F74" s="3"/>
      <c r="G74" s="3"/>
      <c r="H74" s="39"/>
      <c r="I74" s="3"/>
      <c r="J74" s="39"/>
      <c r="K74" s="3"/>
      <c r="L74" s="10"/>
      <c r="M74" s="4"/>
      <c r="N74" s="4"/>
      <c r="O74" s="4"/>
      <c r="P74" s="4"/>
    </row>
    <row r="75" spans="1:19" ht="13.5" thickBot="1">
      <c r="A75" s="9"/>
      <c r="B75" s="281" t="s">
        <v>28</v>
      </c>
      <c r="C75" s="282"/>
      <c r="D75" s="282"/>
      <c r="E75" s="29" t="s">
        <v>25</v>
      </c>
      <c r="F75" s="28"/>
      <c r="G75" s="28"/>
      <c r="H75" s="41"/>
      <c r="I75" s="28"/>
      <c r="J75" s="41"/>
      <c r="K75" s="28"/>
      <c r="L75" s="10"/>
      <c r="M75" s="4"/>
      <c r="N75" s="4"/>
      <c r="O75" s="4"/>
      <c r="P75" s="4"/>
    </row>
    <row r="76" spans="1:19" ht="13.5" thickTop="1">
      <c r="A76" s="9"/>
      <c r="B76" s="22">
        <v>13</v>
      </c>
      <c r="C76" s="23" t="s">
        <v>132</v>
      </c>
      <c r="D76" s="23" t="s">
        <v>25</v>
      </c>
      <c r="E76" s="23" t="s">
        <v>133</v>
      </c>
      <c r="F76" s="24" t="s">
        <v>49</v>
      </c>
      <c r="G76" s="30">
        <f>ROUND(990.5,3)</f>
        <v>990.5</v>
      </c>
      <c r="H76" s="42">
        <f>ROUND(0,2)</f>
        <v>0</v>
      </c>
      <c r="I76" s="31">
        <f>ROUND(H76*G76,2)</f>
        <v>0</v>
      </c>
      <c r="J76" s="46" t="s">
        <v>25</v>
      </c>
      <c r="K76" s="31">
        <f>IF(ISNUMBER(J76),ROUND(I76*(J76+1),2),0)</f>
        <v>0</v>
      </c>
      <c r="L76" s="10"/>
      <c r="M76" s="4"/>
      <c r="N76" s="4"/>
      <c r="O76" s="4"/>
      <c r="P76" s="4"/>
      <c r="Q76" s="1">
        <f>IF(ISNUMBER(J76),IF(G76&gt;0,IF(H76&gt;0,I76,0),0),0)</f>
        <v>0</v>
      </c>
      <c r="R76" s="1">
        <f>IF(ISNUMBER(J76)=FALSE,I76,0)</f>
        <v>0</v>
      </c>
    </row>
    <row r="77" spans="1:19">
      <c r="A77" s="9"/>
      <c r="B77" s="283" t="s">
        <v>27</v>
      </c>
      <c r="C77" s="276"/>
      <c r="D77" s="276"/>
      <c r="E77" s="27" t="s">
        <v>134</v>
      </c>
      <c r="F77" s="3"/>
      <c r="G77" s="3"/>
      <c r="H77" s="39"/>
      <c r="I77" s="3"/>
      <c r="J77" s="39"/>
      <c r="K77" s="3"/>
      <c r="L77" s="10"/>
      <c r="M77" s="4"/>
      <c r="N77" s="4"/>
      <c r="O77" s="4"/>
      <c r="P77" s="4"/>
    </row>
    <row r="78" spans="1:19" ht="13.5" thickBot="1">
      <c r="A78" s="9"/>
      <c r="B78" s="281" t="s">
        <v>28</v>
      </c>
      <c r="C78" s="282"/>
      <c r="D78" s="282"/>
      <c r="E78" s="29" t="s">
        <v>25</v>
      </c>
      <c r="F78" s="28"/>
      <c r="G78" s="28"/>
      <c r="H78" s="41"/>
      <c r="I78" s="28"/>
      <c r="J78" s="41"/>
      <c r="K78" s="28"/>
      <c r="L78" s="10"/>
      <c r="M78" s="4"/>
      <c r="N78" s="4"/>
      <c r="O78" s="4"/>
      <c r="P78" s="4"/>
    </row>
    <row r="79" spans="1:19" ht="13.5" thickTop="1">
      <c r="A79" s="9"/>
      <c r="B79" s="22">
        <v>14</v>
      </c>
      <c r="C79" s="23" t="s">
        <v>135</v>
      </c>
      <c r="D79" s="23" t="s">
        <v>25</v>
      </c>
      <c r="E79" s="23" t="s">
        <v>136</v>
      </c>
      <c r="F79" s="24" t="s">
        <v>49</v>
      </c>
      <c r="G79" s="30">
        <f>ROUND(495.5,3)</f>
        <v>495.5</v>
      </c>
      <c r="H79" s="42">
        <f>ROUND(0,2)</f>
        <v>0</v>
      </c>
      <c r="I79" s="31">
        <f>ROUND(H79*G79,2)</f>
        <v>0</v>
      </c>
      <c r="J79" s="46" t="s">
        <v>25</v>
      </c>
      <c r="K79" s="31">
        <f>IF(ISNUMBER(J79),ROUND(I79*(J79+1),2),0)</f>
        <v>0</v>
      </c>
      <c r="L79" s="10"/>
      <c r="M79" s="4"/>
      <c r="N79" s="4"/>
      <c r="O79" s="4"/>
      <c r="P79" s="4"/>
      <c r="Q79" s="1">
        <f>IF(ISNUMBER(J79),IF(G79&gt;0,IF(H79&gt;0,I79,0),0),0)</f>
        <v>0</v>
      </c>
      <c r="R79" s="1">
        <f>IF(ISNUMBER(J79)=FALSE,I79,0)</f>
        <v>0</v>
      </c>
    </row>
    <row r="80" spans="1:19">
      <c r="A80" s="9"/>
      <c r="B80" s="283" t="s">
        <v>27</v>
      </c>
      <c r="C80" s="276"/>
      <c r="D80" s="276"/>
      <c r="E80" s="27" t="s">
        <v>25</v>
      </c>
      <c r="F80" s="3"/>
      <c r="G80" s="3"/>
      <c r="H80" s="39"/>
      <c r="I80" s="3"/>
      <c r="J80" s="39"/>
      <c r="K80" s="3"/>
      <c r="L80" s="10"/>
      <c r="M80" s="4"/>
      <c r="N80" s="4"/>
      <c r="O80" s="4"/>
      <c r="P80" s="4"/>
    </row>
    <row r="81" spans="1:18" ht="13.5" thickBot="1">
      <c r="A81" s="9"/>
      <c r="B81" s="281" t="s">
        <v>28</v>
      </c>
      <c r="C81" s="282"/>
      <c r="D81" s="282"/>
      <c r="E81" s="29" t="s">
        <v>25</v>
      </c>
      <c r="F81" s="28"/>
      <c r="G81" s="28"/>
      <c r="H81" s="41"/>
      <c r="I81" s="28"/>
      <c r="J81" s="41"/>
      <c r="K81" s="28"/>
      <c r="L81" s="10"/>
      <c r="M81" s="4"/>
      <c r="N81" s="4"/>
      <c r="O81" s="4"/>
      <c r="P81" s="4"/>
    </row>
    <row r="82" spans="1:18" ht="13.5" thickTop="1">
      <c r="A82" s="9"/>
      <c r="B82" s="22">
        <v>15</v>
      </c>
      <c r="C82" s="23" t="s">
        <v>137</v>
      </c>
      <c r="D82" s="23" t="s">
        <v>25</v>
      </c>
      <c r="E82" s="23" t="s">
        <v>138</v>
      </c>
      <c r="F82" s="24" t="s">
        <v>49</v>
      </c>
      <c r="G82" s="30">
        <f>ROUND(495.5,3)</f>
        <v>495.5</v>
      </c>
      <c r="H82" s="42">
        <f>ROUND(0,2)</f>
        <v>0</v>
      </c>
      <c r="I82" s="31">
        <f>ROUND(H82*G82,2)</f>
        <v>0</v>
      </c>
      <c r="J82" s="46" t="s">
        <v>25</v>
      </c>
      <c r="K82" s="31">
        <f>IF(ISNUMBER(J82),ROUND(I82*(J82+1),2),0)</f>
        <v>0</v>
      </c>
      <c r="L82" s="10"/>
      <c r="M82" s="4"/>
      <c r="N82" s="4"/>
      <c r="O82" s="4"/>
      <c r="P82" s="4"/>
      <c r="Q82" s="1">
        <f>IF(ISNUMBER(J82),IF(G82&gt;0,IF(H82&gt;0,I82,0),0),0)</f>
        <v>0</v>
      </c>
      <c r="R82" s="1">
        <f>IF(ISNUMBER(J82)=FALSE,I82,0)</f>
        <v>0</v>
      </c>
    </row>
    <row r="83" spans="1:18">
      <c r="A83" s="9"/>
      <c r="B83" s="283" t="s">
        <v>27</v>
      </c>
      <c r="C83" s="276"/>
      <c r="D83" s="276"/>
      <c r="E83" s="27" t="s">
        <v>25</v>
      </c>
      <c r="F83" s="3"/>
      <c r="G83" s="3"/>
      <c r="H83" s="39"/>
      <c r="I83" s="3"/>
      <c r="J83" s="39"/>
      <c r="K83" s="3"/>
      <c r="L83" s="10"/>
      <c r="M83" s="4"/>
      <c r="N83" s="4"/>
      <c r="O83" s="4"/>
      <c r="P83" s="4"/>
    </row>
    <row r="84" spans="1:18" ht="13.5" thickBot="1">
      <c r="A84" s="9"/>
      <c r="B84" s="281" t="s">
        <v>28</v>
      </c>
      <c r="C84" s="282"/>
      <c r="D84" s="282"/>
      <c r="E84" s="29" t="s">
        <v>25</v>
      </c>
      <c r="F84" s="28"/>
      <c r="G84" s="28"/>
      <c r="H84" s="41"/>
      <c r="I84" s="28"/>
      <c r="J84" s="41"/>
      <c r="K84" s="28"/>
      <c r="L84" s="10"/>
      <c r="M84" s="4"/>
      <c r="N84" s="4"/>
      <c r="O84" s="4"/>
      <c r="P84" s="4"/>
    </row>
    <row r="85" spans="1:18" ht="13.5" thickTop="1">
      <c r="A85" s="9"/>
      <c r="B85" s="22">
        <v>16</v>
      </c>
      <c r="C85" s="23" t="s">
        <v>139</v>
      </c>
      <c r="D85" s="23" t="s">
        <v>25</v>
      </c>
      <c r="E85" s="23" t="s">
        <v>140</v>
      </c>
      <c r="F85" s="24" t="s">
        <v>49</v>
      </c>
      <c r="G85" s="30">
        <f>ROUND(495.5,3)</f>
        <v>495.5</v>
      </c>
      <c r="H85" s="42">
        <f>ROUND(0,2)</f>
        <v>0</v>
      </c>
      <c r="I85" s="31">
        <f>ROUND(H85*G85,2)</f>
        <v>0</v>
      </c>
      <c r="J85" s="46" t="s">
        <v>25</v>
      </c>
      <c r="K85" s="31">
        <f>IF(ISNUMBER(J85),ROUND(I85*(J85+1),2),0)</f>
        <v>0</v>
      </c>
      <c r="L85" s="10"/>
      <c r="M85" s="4"/>
      <c r="N85" s="4"/>
      <c r="O85" s="4"/>
      <c r="P85" s="4"/>
      <c r="Q85" s="1">
        <f>IF(ISNUMBER(J85),IF(G85&gt;0,IF(H85&gt;0,I85,0),0),0)</f>
        <v>0</v>
      </c>
      <c r="R85" s="1">
        <f>IF(ISNUMBER(J85)=FALSE,I85,0)</f>
        <v>0</v>
      </c>
    </row>
    <row r="86" spans="1:18">
      <c r="A86" s="9"/>
      <c r="B86" s="283" t="s">
        <v>27</v>
      </c>
      <c r="C86" s="276"/>
      <c r="D86" s="276"/>
      <c r="E86" s="27" t="s">
        <v>25</v>
      </c>
      <c r="F86" s="3"/>
      <c r="G86" s="3"/>
      <c r="H86" s="39"/>
      <c r="I86" s="3"/>
      <c r="J86" s="39"/>
      <c r="K86" s="3"/>
      <c r="L86" s="10"/>
      <c r="M86" s="4"/>
      <c r="N86" s="4"/>
      <c r="O86" s="4"/>
      <c r="P86" s="4"/>
    </row>
    <row r="87" spans="1:18" ht="13.5" thickBot="1">
      <c r="A87" s="9"/>
      <c r="B87" s="281" t="s">
        <v>28</v>
      </c>
      <c r="C87" s="282"/>
      <c r="D87" s="282"/>
      <c r="E87" s="29" t="s">
        <v>25</v>
      </c>
      <c r="F87" s="28"/>
      <c r="G87" s="28"/>
      <c r="H87" s="41"/>
      <c r="I87" s="28"/>
      <c r="J87" s="41"/>
      <c r="K87" s="28"/>
      <c r="L87" s="10"/>
      <c r="M87" s="4"/>
      <c r="N87" s="4"/>
      <c r="O87" s="4"/>
      <c r="P87" s="4"/>
    </row>
    <row r="88" spans="1:18" ht="13.5" thickTop="1">
      <c r="A88" s="9"/>
      <c r="B88" s="22">
        <v>17</v>
      </c>
      <c r="C88" s="23" t="s">
        <v>141</v>
      </c>
      <c r="D88" s="23" t="s">
        <v>25</v>
      </c>
      <c r="E88" s="23" t="s">
        <v>142</v>
      </c>
      <c r="F88" s="24" t="s">
        <v>49</v>
      </c>
      <c r="G88" s="30">
        <f>ROUND(55.5,3)</f>
        <v>55.5</v>
      </c>
      <c r="H88" s="42">
        <f>ROUND(0,2)</f>
        <v>0</v>
      </c>
      <c r="I88" s="31">
        <f>ROUND(H88*G88,2)</f>
        <v>0</v>
      </c>
      <c r="J88" s="46" t="s">
        <v>25</v>
      </c>
      <c r="K88" s="31">
        <f>IF(ISNUMBER(J88),ROUND(I88*(J88+1),2),0)</f>
        <v>0</v>
      </c>
      <c r="L88" s="10"/>
      <c r="M88" s="4"/>
      <c r="N88" s="4"/>
      <c r="O88" s="4"/>
      <c r="P88" s="4"/>
      <c r="Q88" s="1">
        <f>IF(ISNUMBER(J88),IF(G88&gt;0,IF(H88&gt;0,I88,0),0),0)</f>
        <v>0</v>
      </c>
      <c r="R88" s="1">
        <f>IF(ISNUMBER(J88)=FALSE,I88,0)</f>
        <v>0</v>
      </c>
    </row>
    <row r="89" spans="1:18">
      <c r="A89" s="9"/>
      <c r="B89" s="283" t="s">
        <v>27</v>
      </c>
      <c r="C89" s="276"/>
      <c r="D89" s="276"/>
      <c r="E89" s="27" t="s">
        <v>143</v>
      </c>
      <c r="F89" s="3"/>
      <c r="G89" s="3"/>
      <c r="H89" s="39"/>
      <c r="I89" s="3"/>
      <c r="J89" s="39"/>
      <c r="K89" s="3"/>
      <c r="L89" s="10"/>
      <c r="M89" s="4"/>
      <c r="N89" s="4"/>
      <c r="O89" s="4"/>
      <c r="P89" s="4"/>
    </row>
    <row r="90" spans="1:18" ht="13.5" thickBot="1">
      <c r="A90" s="9"/>
      <c r="B90" s="281" t="s">
        <v>28</v>
      </c>
      <c r="C90" s="282"/>
      <c r="D90" s="282"/>
      <c r="E90" s="29" t="s">
        <v>25</v>
      </c>
      <c r="F90" s="28"/>
      <c r="G90" s="28"/>
      <c r="H90" s="41"/>
      <c r="I90" s="28"/>
      <c r="J90" s="41"/>
      <c r="K90" s="28"/>
      <c r="L90" s="10"/>
      <c r="M90" s="4"/>
      <c r="N90" s="4"/>
      <c r="O90" s="4"/>
      <c r="P90" s="4"/>
    </row>
    <row r="91" spans="1:18" ht="13.5" thickTop="1">
      <c r="A91" s="9"/>
      <c r="B91" s="22">
        <v>18</v>
      </c>
      <c r="C91" s="23" t="s">
        <v>144</v>
      </c>
      <c r="D91" s="23" t="s">
        <v>25</v>
      </c>
      <c r="E91" s="23" t="s">
        <v>145</v>
      </c>
      <c r="F91" s="24" t="s">
        <v>49</v>
      </c>
      <c r="G91" s="30">
        <f>ROUND(39.5,3)</f>
        <v>39.5</v>
      </c>
      <c r="H91" s="42">
        <f>ROUND(0,2)</f>
        <v>0</v>
      </c>
      <c r="I91" s="31">
        <f>ROUND(H91*G91,2)</f>
        <v>0</v>
      </c>
      <c r="J91" s="46" t="s">
        <v>25</v>
      </c>
      <c r="K91" s="31">
        <f>IF(ISNUMBER(J91),ROUND(I91*(J91+1),2),0)</f>
        <v>0</v>
      </c>
      <c r="L91" s="10"/>
      <c r="M91" s="4"/>
      <c r="N91" s="4"/>
      <c r="O91" s="4"/>
      <c r="P91" s="4"/>
      <c r="Q91" s="1">
        <f>IF(ISNUMBER(J91),IF(G91&gt;0,IF(H91&gt;0,I91,0),0),0)</f>
        <v>0</v>
      </c>
      <c r="R91" s="1">
        <f>IF(ISNUMBER(J91)=FALSE,I91,0)</f>
        <v>0</v>
      </c>
    </row>
    <row r="92" spans="1:18">
      <c r="A92" s="9"/>
      <c r="B92" s="283" t="s">
        <v>27</v>
      </c>
      <c r="C92" s="276"/>
      <c r="D92" s="276"/>
      <c r="E92" s="27" t="s">
        <v>146</v>
      </c>
      <c r="F92" s="3"/>
      <c r="G92" s="3"/>
      <c r="H92" s="39"/>
      <c r="I92" s="3"/>
      <c r="J92" s="39"/>
      <c r="K92" s="3"/>
      <c r="L92" s="10"/>
      <c r="M92" s="4"/>
      <c r="N92" s="4"/>
      <c r="O92" s="4"/>
      <c r="P92" s="4"/>
    </row>
    <row r="93" spans="1:18" ht="13.5" thickBot="1">
      <c r="A93" s="9"/>
      <c r="B93" s="281" t="s">
        <v>28</v>
      </c>
      <c r="C93" s="282"/>
      <c r="D93" s="282"/>
      <c r="E93" s="29" t="s">
        <v>25</v>
      </c>
      <c r="F93" s="28"/>
      <c r="G93" s="28"/>
      <c r="H93" s="41"/>
      <c r="I93" s="28"/>
      <c r="J93" s="41"/>
      <c r="K93" s="28"/>
      <c r="L93" s="10"/>
      <c r="M93" s="4"/>
      <c r="N93" s="4"/>
      <c r="O93" s="4"/>
      <c r="P93" s="4"/>
    </row>
    <row r="94" spans="1:18" ht="13.5" thickTop="1">
      <c r="A94" s="9"/>
      <c r="B94" s="22">
        <v>19</v>
      </c>
      <c r="C94" s="23" t="s">
        <v>147</v>
      </c>
      <c r="D94" s="23" t="s">
        <v>25</v>
      </c>
      <c r="E94" s="23" t="s">
        <v>148</v>
      </c>
      <c r="F94" s="24" t="s">
        <v>49</v>
      </c>
      <c r="G94" s="30">
        <f>ROUND(6,3)</f>
        <v>6</v>
      </c>
      <c r="H94" s="42">
        <f>ROUND(0,2)</f>
        <v>0</v>
      </c>
      <c r="I94" s="31">
        <f>ROUND(H94*G94,2)</f>
        <v>0</v>
      </c>
      <c r="J94" s="46" t="s">
        <v>25</v>
      </c>
      <c r="K94" s="31">
        <f>IF(ISNUMBER(J94),ROUND(I94*(J94+1),2),0)</f>
        <v>0</v>
      </c>
      <c r="L94" s="10"/>
      <c r="M94" s="4"/>
      <c r="N94" s="4"/>
      <c r="O94" s="4"/>
      <c r="P94" s="4"/>
      <c r="Q94" s="1">
        <f>IF(ISNUMBER(J94),IF(G94&gt;0,IF(H94&gt;0,I94,0),0),0)</f>
        <v>0</v>
      </c>
      <c r="R94" s="1">
        <f>IF(ISNUMBER(J94)=FALSE,I94,0)</f>
        <v>0</v>
      </c>
    </row>
    <row r="95" spans="1:18">
      <c r="A95" s="9"/>
      <c r="B95" s="283" t="s">
        <v>27</v>
      </c>
      <c r="C95" s="276"/>
      <c r="D95" s="276"/>
      <c r="E95" s="27" t="s">
        <v>25</v>
      </c>
      <c r="F95" s="3"/>
      <c r="G95" s="3"/>
      <c r="H95" s="39"/>
      <c r="I95" s="3"/>
      <c r="J95" s="39"/>
      <c r="K95" s="3"/>
      <c r="L95" s="10"/>
      <c r="M95" s="4"/>
      <c r="N95" s="4"/>
      <c r="O95" s="4"/>
      <c r="P95" s="4"/>
    </row>
    <row r="96" spans="1:18" ht="13.5" thickBot="1">
      <c r="A96" s="9"/>
      <c r="B96" s="281" t="s">
        <v>28</v>
      </c>
      <c r="C96" s="282"/>
      <c r="D96" s="282"/>
      <c r="E96" s="29" t="s">
        <v>25</v>
      </c>
      <c r="F96" s="28"/>
      <c r="G96" s="28"/>
      <c r="H96" s="41"/>
      <c r="I96" s="28"/>
      <c r="J96" s="41"/>
      <c r="K96" s="28"/>
      <c r="L96" s="10"/>
      <c r="M96" s="4"/>
      <c r="N96" s="4"/>
      <c r="O96" s="4"/>
      <c r="P96" s="4"/>
    </row>
    <row r="97" spans="1:19" ht="13.5" thickTop="1">
      <c r="A97" s="9"/>
      <c r="B97" s="22">
        <v>20</v>
      </c>
      <c r="C97" s="23" t="s">
        <v>149</v>
      </c>
      <c r="D97" s="23" t="s">
        <v>25</v>
      </c>
      <c r="E97" s="23" t="s">
        <v>150</v>
      </c>
      <c r="F97" s="24" t="s">
        <v>49</v>
      </c>
      <c r="G97" s="30">
        <f>ROUND(4.5,3)</f>
        <v>4.5</v>
      </c>
      <c r="H97" s="42">
        <f>ROUND(0,2)</f>
        <v>0</v>
      </c>
      <c r="I97" s="31">
        <f>ROUND(H97*G97,2)</f>
        <v>0</v>
      </c>
      <c r="J97" s="46" t="s">
        <v>25</v>
      </c>
      <c r="K97" s="31">
        <f>IF(ISNUMBER(J97),ROUND(I97*(J97+1),2),0)</f>
        <v>0</v>
      </c>
      <c r="L97" s="10"/>
      <c r="M97" s="4"/>
      <c r="N97" s="4"/>
      <c r="O97" s="4"/>
      <c r="P97" s="4"/>
      <c r="Q97" s="1">
        <f>IF(ISNUMBER(J97),IF(G97&gt;0,IF(H97&gt;0,I97,0),0),0)</f>
        <v>0</v>
      </c>
      <c r="R97" s="1">
        <f>IF(ISNUMBER(J97)=FALSE,I97,0)</f>
        <v>0</v>
      </c>
    </row>
    <row r="98" spans="1:19">
      <c r="A98" s="9"/>
      <c r="B98" s="283" t="s">
        <v>27</v>
      </c>
      <c r="C98" s="276"/>
      <c r="D98" s="276"/>
      <c r="E98" s="27" t="s">
        <v>25</v>
      </c>
      <c r="F98" s="3"/>
      <c r="G98" s="3"/>
      <c r="H98" s="39"/>
      <c r="I98" s="3"/>
      <c r="J98" s="39"/>
      <c r="K98" s="3"/>
      <c r="L98" s="10"/>
      <c r="M98" s="4"/>
      <c r="N98" s="4"/>
      <c r="O98" s="4"/>
      <c r="P98" s="4"/>
    </row>
    <row r="99" spans="1:19" ht="13.5" thickBot="1">
      <c r="A99" s="9"/>
      <c r="B99" s="281" t="s">
        <v>28</v>
      </c>
      <c r="C99" s="282"/>
      <c r="D99" s="282"/>
      <c r="E99" s="29" t="s">
        <v>25</v>
      </c>
      <c r="F99" s="28"/>
      <c r="G99" s="28"/>
      <c r="H99" s="41"/>
      <c r="I99" s="28"/>
      <c r="J99" s="41"/>
      <c r="K99" s="28"/>
      <c r="L99" s="10"/>
      <c r="M99" s="4"/>
      <c r="N99" s="4"/>
      <c r="O99" s="4"/>
      <c r="P99" s="4"/>
    </row>
    <row r="100" spans="1:19" ht="24.95" customHeight="1" thickTop="1" thickBot="1">
      <c r="A100" s="9"/>
      <c r="B100" s="32"/>
      <c r="C100" s="33">
        <v>5</v>
      </c>
      <c r="D100" s="32"/>
      <c r="E100" s="34" t="s">
        <v>152</v>
      </c>
      <c r="F100" s="35" t="s">
        <v>44</v>
      </c>
      <c r="G100" s="36">
        <f>I67+I70+I73+I76+I79+I82+I85+I88+I91+I94+I97</f>
        <v>0</v>
      </c>
      <c r="H100" s="43" t="s">
        <v>45</v>
      </c>
      <c r="I100" s="37">
        <f>IF(COUNT(J67:J100)&gt;0,AVERAGE(J67:J100),0.21)</f>
        <v>0.21</v>
      </c>
      <c r="J100" s="43" t="s">
        <v>46</v>
      </c>
      <c r="K100" s="36">
        <f>ROUND(Q100*(1+I100),2)+R100</f>
        <v>0</v>
      </c>
      <c r="L100" s="10"/>
      <c r="M100" s="4"/>
      <c r="N100" s="4"/>
      <c r="O100" s="4"/>
      <c r="P100" s="4"/>
      <c r="Q100" s="1">
        <f>0+Q67+Q70+Q73+Q76+Q79+Q82+Q85+Q88+Q91+Q94+Q97</f>
        <v>0</v>
      </c>
      <c r="R100" s="1">
        <f>0+R67+R70+R73+R76+R79+R82+R85+R88+R91+R94+R97</f>
        <v>0</v>
      </c>
      <c r="S100" s="2">
        <f>Q100*(1+I100)+R100</f>
        <v>0</v>
      </c>
    </row>
    <row r="101" spans="1:19" ht="39.950000000000003" customHeight="1">
      <c r="A101" s="9"/>
      <c r="B101" s="284" t="s">
        <v>162</v>
      </c>
      <c r="C101" s="276"/>
      <c r="D101" s="276"/>
      <c r="E101" s="285"/>
      <c r="F101" s="276"/>
      <c r="G101" s="276"/>
      <c r="H101" s="286"/>
      <c r="I101" s="276"/>
      <c r="J101" s="286"/>
      <c r="K101" s="276"/>
      <c r="L101" s="10"/>
      <c r="M101" s="4"/>
      <c r="N101" s="4"/>
      <c r="O101" s="4"/>
      <c r="P101" s="4"/>
    </row>
    <row r="102" spans="1:19">
      <c r="A102" s="9"/>
      <c r="B102" s="22">
        <v>21</v>
      </c>
      <c r="C102" s="23" t="s">
        <v>153</v>
      </c>
      <c r="D102" s="23" t="s">
        <v>25</v>
      </c>
      <c r="E102" s="23" t="s">
        <v>154</v>
      </c>
      <c r="F102" s="24" t="s">
        <v>52</v>
      </c>
      <c r="G102" s="25">
        <f>ROUND(2,3)</f>
        <v>2</v>
      </c>
      <c r="H102" s="40">
        <f>ROUND(0,2)</f>
        <v>0</v>
      </c>
      <c r="I102" s="26">
        <f>ROUND(H102*G102,2)</f>
        <v>0</v>
      </c>
      <c r="J102" s="45" t="s">
        <v>25</v>
      </c>
      <c r="K102" s="26">
        <f>IF(ISNUMBER(J102),ROUND(I102*(J102+1),2),0)</f>
        <v>0</v>
      </c>
      <c r="L102" s="10"/>
      <c r="M102" s="4"/>
      <c r="N102" s="4"/>
      <c r="O102" s="4"/>
      <c r="P102" s="4"/>
      <c r="Q102" s="1">
        <f>IF(ISNUMBER(J102),IF(G102&gt;0,IF(H102&gt;0,I102,0),0),0)</f>
        <v>0</v>
      </c>
      <c r="R102" s="1">
        <f>IF(ISNUMBER(J102)=FALSE,I102,0)</f>
        <v>0</v>
      </c>
    </row>
    <row r="103" spans="1:19">
      <c r="A103" s="9"/>
      <c r="B103" s="283" t="s">
        <v>27</v>
      </c>
      <c r="C103" s="276"/>
      <c r="D103" s="276"/>
      <c r="E103" s="27" t="s">
        <v>25</v>
      </c>
      <c r="F103" s="3"/>
      <c r="G103" s="3"/>
      <c r="H103" s="39"/>
      <c r="I103" s="3"/>
      <c r="J103" s="39"/>
      <c r="K103" s="3"/>
      <c r="L103" s="10"/>
      <c r="M103" s="4"/>
      <c r="N103" s="4"/>
      <c r="O103" s="4"/>
      <c r="P103" s="4"/>
    </row>
    <row r="104" spans="1:19" ht="13.5" thickBot="1">
      <c r="A104" s="9"/>
      <c r="B104" s="281" t="s">
        <v>28</v>
      </c>
      <c r="C104" s="282"/>
      <c r="D104" s="282"/>
      <c r="E104" s="29" t="s">
        <v>25</v>
      </c>
      <c r="F104" s="28"/>
      <c r="G104" s="28"/>
      <c r="H104" s="41"/>
      <c r="I104" s="28"/>
      <c r="J104" s="41"/>
      <c r="K104" s="28"/>
      <c r="L104" s="10"/>
      <c r="M104" s="4"/>
      <c r="N104" s="4"/>
      <c r="O104" s="4"/>
      <c r="P104" s="4"/>
    </row>
    <row r="105" spans="1:19" ht="13.5" thickTop="1">
      <c r="A105" s="9"/>
      <c r="B105" s="22">
        <v>22</v>
      </c>
      <c r="C105" s="23" t="s">
        <v>155</v>
      </c>
      <c r="D105" s="23" t="s">
        <v>25</v>
      </c>
      <c r="E105" s="23" t="s">
        <v>156</v>
      </c>
      <c r="F105" s="24" t="s">
        <v>52</v>
      </c>
      <c r="G105" s="30">
        <f>ROUND(1,3)</f>
        <v>1</v>
      </c>
      <c r="H105" s="42">
        <f>ROUND(0,2)</f>
        <v>0</v>
      </c>
      <c r="I105" s="31">
        <f>ROUND(H105*G105,2)</f>
        <v>0</v>
      </c>
      <c r="J105" s="46" t="s">
        <v>25</v>
      </c>
      <c r="K105" s="31">
        <f>IF(ISNUMBER(J105),ROUND(I105*(J105+1),2),0)</f>
        <v>0</v>
      </c>
      <c r="L105" s="10"/>
      <c r="M105" s="4"/>
      <c r="N105" s="4"/>
      <c r="O105" s="4"/>
      <c r="P105" s="4"/>
      <c r="Q105" s="1">
        <f>IF(ISNUMBER(J105),IF(G105&gt;0,IF(H105&gt;0,I105,0),0),0)</f>
        <v>0</v>
      </c>
      <c r="R105" s="1">
        <f>IF(ISNUMBER(J105)=FALSE,I105,0)</f>
        <v>0</v>
      </c>
    </row>
    <row r="106" spans="1:19">
      <c r="A106" s="9"/>
      <c r="B106" s="283" t="s">
        <v>27</v>
      </c>
      <c r="C106" s="276"/>
      <c r="D106" s="276"/>
      <c r="E106" s="27" t="s">
        <v>25</v>
      </c>
      <c r="F106" s="3"/>
      <c r="G106" s="3"/>
      <c r="H106" s="39"/>
      <c r="I106" s="3"/>
      <c r="J106" s="39"/>
      <c r="K106" s="3"/>
      <c r="L106" s="10"/>
      <c r="M106" s="4"/>
      <c r="N106" s="4"/>
      <c r="O106" s="4"/>
      <c r="P106" s="4"/>
    </row>
    <row r="107" spans="1:19" ht="13.5" thickBot="1">
      <c r="A107" s="9"/>
      <c r="B107" s="281" t="s">
        <v>28</v>
      </c>
      <c r="C107" s="282"/>
      <c r="D107" s="282"/>
      <c r="E107" s="29" t="s">
        <v>25</v>
      </c>
      <c r="F107" s="28"/>
      <c r="G107" s="28"/>
      <c r="H107" s="41"/>
      <c r="I107" s="28"/>
      <c r="J107" s="41"/>
      <c r="K107" s="28"/>
      <c r="L107" s="10"/>
      <c r="M107" s="4"/>
      <c r="N107" s="4"/>
      <c r="O107" s="4"/>
      <c r="P107" s="4"/>
    </row>
    <row r="108" spans="1:19" ht="13.5" thickTop="1">
      <c r="A108" s="9"/>
      <c r="B108" s="22">
        <v>23</v>
      </c>
      <c r="C108" s="23" t="s">
        <v>157</v>
      </c>
      <c r="D108" s="23" t="s">
        <v>25</v>
      </c>
      <c r="E108" s="23" t="s">
        <v>158</v>
      </c>
      <c r="F108" s="24" t="s">
        <v>52</v>
      </c>
      <c r="G108" s="30">
        <f>ROUND(1,3)</f>
        <v>1</v>
      </c>
      <c r="H108" s="42">
        <f>ROUND(0,2)</f>
        <v>0</v>
      </c>
      <c r="I108" s="31">
        <f>ROUND(H108*G108,2)</f>
        <v>0</v>
      </c>
      <c r="J108" s="46" t="s">
        <v>25</v>
      </c>
      <c r="K108" s="31">
        <f>IF(ISNUMBER(J108),ROUND(I108*(J108+1),2),0)</f>
        <v>0</v>
      </c>
      <c r="L108" s="10"/>
      <c r="M108" s="4"/>
      <c r="N108" s="4"/>
      <c r="O108" s="4"/>
      <c r="P108" s="4"/>
      <c r="Q108" s="1">
        <f>IF(ISNUMBER(J108),IF(G108&gt;0,IF(H108&gt;0,I108,0),0),0)</f>
        <v>0</v>
      </c>
      <c r="R108" s="1">
        <f>IF(ISNUMBER(J108)=FALSE,I108,0)</f>
        <v>0</v>
      </c>
    </row>
    <row r="109" spans="1:19">
      <c r="A109" s="9"/>
      <c r="B109" s="283" t="s">
        <v>27</v>
      </c>
      <c r="C109" s="276"/>
      <c r="D109" s="276"/>
      <c r="E109" s="27" t="s">
        <v>25</v>
      </c>
      <c r="F109" s="3"/>
      <c r="G109" s="3"/>
      <c r="H109" s="39"/>
      <c r="I109" s="3"/>
      <c r="J109" s="39"/>
      <c r="K109" s="3"/>
      <c r="L109" s="10"/>
      <c r="M109" s="4"/>
      <c r="N109" s="4"/>
      <c r="O109" s="4"/>
      <c r="P109" s="4"/>
    </row>
    <row r="110" spans="1:19" ht="13.5" thickBot="1">
      <c r="A110" s="9"/>
      <c r="B110" s="281" t="s">
        <v>28</v>
      </c>
      <c r="C110" s="282"/>
      <c r="D110" s="282"/>
      <c r="E110" s="29" t="s">
        <v>25</v>
      </c>
      <c r="F110" s="28"/>
      <c r="G110" s="28"/>
      <c r="H110" s="41"/>
      <c r="I110" s="28"/>
      <c r="J110" s="41"/>
      <c r="K110" s="28"/>
      <c r="L110" s="10"/>
      <c r="M110" s="4"/>
      <c r="N110" s="4"/>
      <c r="O110" s="4"/>
      <c r="P110" s="4"/>
    </row>
    <row r="111" spans="1:19" ht="13.5" thickTop="1">
      <c r="A111" s="9"/>
      <c r="B111" s="22">
        <v>24</v>
      </c>
      <c r="C111" s="23" t="s">
        <v>159</v>
      </c>
      <c r="D111" s="23" t="s">
        <v>25</v>
      </c>
      <c r="E111" s="23" t="s">
        <v>160</v>
      </c>
      <c r="F111" s="24" t="s">
        <v>52</v>
      </c>
      <c r="G111" s="30">
        <f>ROUND(2,3)</f>
        <v>2</v>
      </c>
      <c r="H111" s="42">
        <f>ROUND(0,2)</f>
        <v>0</v>
      </c>
      <c r="I111" s="31">
        <f>ROUND(H111*G111,2)</f>
        <v>0</v>
      </c>
      <c r="J111" s="46" t="s">
        <v>25</v>
      </c>
      <c r="K111" s="31">
        <f>IF(ISNUMBER(J111),ROUND(I111*(J111+1),2),0)</f>
        <v>0</v>
      </c>
      <c r="L111" s="10"/>
      <c r="M111" s="4"/>
      <c r="N111" s="4"/>
      <c r="O111" s="4"/>
      <c r="P111" s="4"/>
      <c r="Q111" s="1">
        <f>IF(ISNUMBER(J111),IF(G111&gt;0,IF(H111&gt;0,I111,0),0),0)</f>
        <v>0</v>
      </c>
      <c r="R111" s="1">
        <f>IF(ISNUMBER(J111)=FALSE,I111,0)</f>
        <v>0</v>
      </c>
    </row>
    <row r="112" spans="1:19">
      <c r="A112" s="9"/>
      <c r="B112" s="283" t="s">
        <v>27</v>
      </c>
      <c r="C112" s="276"/>
      <c r="D112" s="276"/>
      <c r="E112" s="27" t="s">
        <v>161</v>
      </c>
      <c r="F112" s="3"/>
      <c r="G112" s="3"/>
      <c r="H112" s="39"/>
      <c r="I112" s="3"/>
      <c r="J112" s="39"/>
      <c r="K112" s="3"/>
      <c r="L112" s="10"/>
      <c r="M112" s="4"/>
      <c r="N112" s="4"/>
      <c r="O112" s="4"/>
      <c r="P112" s="4"/>
    </row>
    <row r="113" spans="1:19" ht="13.5" thickBot="1">
      <c r="A113" s="9"/>
      <c r="B113" s="281" t="s">
        <v>28</v>
      </c>
      <c r="C113" s="282"/>
      <c r="D113" s="282"/>
      <c r="E113" s="29" t="s">
        <v>25</v>
      </c>
      <c r="F113" s="28"/>
      <c r="G113" s="28"/>
      <c r="H113" s="41"/>
      <c r="I113" s="28"/>
      <c r="J113" s="41"/>
      <c r="K113" s="28"/>
      <c r="L113" s="10"/>
      <c r="M113" s="4"/>
      <c r="N113" s="4"/>
      <c r="O113" s="4"/>
      <c r="P113" s="4"/>
    </row>
    <row r="114" spans="1:19" ht="24.95" customHeight="1" thickTop="1" thickBot="1">
      <c r="A114" s="9"/>
      <c r="B114" s="32"/>
      <c r="C114" s="33">
        <v>8</v>
      </c>
      <c r="D114" s="32"/>
      <c r="E114" s="34" t="s">
        <v>163</v>
      </c>
      <c r="F114" s="35" t="s">
        <v>44</v>
      </c>
      <c r="G114" s="36">
        <f>I102+I105+I108+I111</f>
        <v>0</v>
      </c>
      <c r="H114" s="43" t="s">
        <v>45</v>
      </c>
      <c r="I114" s="37">
        <f>IF(COUNT(J102:J114)&gt;0,AVERAGE(J102:J114),0.21)</f>
        <v>0.21</v>
      </c>
      <c r="J114" s="43" t="s">
        <v>46</v>
      </c>
      <c r="K114" s="36">
        <f>ROUND(Q114*(1+I114),2)+R114</f>
        <v>0</v>
      </c>
      <c r="L114" s="10"/>
      <c r="M114" s="4"/>
      <c r="N114" s="4"/>
      <c r="O114" s="4"/>
      <c r="P114" s="4"/>
      <c r="Q114" s="1">
        <f>0+Q102+Q105+Q108+Q111</f>
        <v>0</v>
      </c>
      <c r="R114" s="1">
        <f>0+R102+R105+R108+R111</f>
        <v>0</v>
      </c>
      <c r="S114" s="2">
        <f>Q114*(1+I114)+R114</f>
        <v>0</v>
      </c>
    </row>
    <row r="115" spans="1:19" ht="39.950000000000003" customHeight="1">
      <c r="A115" s="9"/>
      <c r="B115" s="284" t="s">
        <v>86</v>
      </c>
      <c r="C115" s="276"/>
      <c r="D115" s="276"/>
      <c r="E115" s="285"/>
      <c r="F115" s="276"/>
      <c r="G115" s="276"/>
      <c r="H115" s="286"/>
      <c r="I115" s="276"/>
      <c r="J115" s="286"/>
      <c r="K115" s="276"/>
      <c r="L115" s="10"/>
      <c r="M115" s="4"/>
      <c r="N115" s="4"/>
      <c r="O115" s="4"/>
      <c r="P115" s="4"/>
    </row>
    <row r="116" spans="1:19">
      <c r="A116" s="9"/>
      <c r="B116" s="22">
        <v>25</v>
      </c>
      <c r="C116" s="23" t="s">
        <v>164</v>
      </c>
      <c r="D116" s="23" t="s">
        <v>25</v>
      </c>
      <c r="E116" s="23" t="s">
        <v>165</v>
      </c>
      <c r="F116" s="24" t="s">
        <v>64</v>
      </c>
      <c r="G116" s="25">
        <f>ROUND(39.5,3)</f>
        <v>39.5</v>
      </c>
      <c r="H116" s="40">
        <f>ROUND(0,2)</f>
        <v>0</v>
      </c>
      <c r="I116" s="26">
        <f>ROUND(H116*G116,2)</f>
        <v>0</v>
      </c>
      <c r="J116" s="45" t="s">
        <v>25</v>
      </c>
      <c r="K116" s="26">
        <f>IF(ISNUMBER(J116),ROUND(I116*(J116+1),2),0)</f>
        <v>0</v>
      </c>
      <c r="L116" s="10"/>
      <c r="M116" s="4"/>
      <c r="N116" s="4"/>
      <c r="O116" s="4"/>
      <c r="P116" s="4"/>
      <c r="Q116" s="1">
        <f>IF(ISNUMBER(J116),IF(G116&gt;0,IF(H116&gt;0,I116,0),0),0)</f>
        <v>0</v>
      </c>
      <c r="R116" s="1">
        <f>IF(ISNUMBER(J116)=FALSE,I116,0)</f>
        <v>0</v>
      </c>
    </row>
    <row r="117" spans="1:19" ht="25.5">
      <c r="A117" s="9"/>
      <c r="B117" s="283" t="s">
        <v>27</v>
      </c>
      <c r="C117" s="276"/>
      <c r="D117" s="276"/>
      <c r="E117" s="27" t="s">
        <v>166</v>
      </c>
      <c r="F117" s="3"/>
      <c r="G117" s="3"/>
      <c r="H117" s="39"/>
      <c r="I117" s="3"/>
      <c r="J117" s="39"/>
      <c r="K117" s="3"/>
      <c r="L117" s="10"/>
      <c r="M117" s="4"/>
      <c r="N117" s="4"/>
      <c r="O117" s="4"/>
      <c r="P117" s="4"/>
    </row>
    <row r="118" spans="1:19" ht="13.5" thickBot="1">
      <c r="A118" s="9"/>
      <c r="B118" s="281" t="s">
        <v>28</v>
      </c>
      <c r="C118" s="282"/>
      <c r="D118" s="282"/>
      <c r="E118" s="29" t="s">
        <v>25</v>
      </c>
      <c r="F118" s="28"/>
      <c r="G118" s="28"/>
      <c r="H118" s="41"/>
      <c r="I118" s="28"/>
      <c r="J118" s="41"/>
      <c r="K118" s="28"/>
      <c r="L118" s="10"/>
      <c r="M118" s="4"/>
      <c r="N118" s="4"/>
      <c r="O118" s="4"/>
      <c r="P118" s="4"/>
    </row>
    <row r="119" spans="1:19" ht="13.5" thickTop="1">
      <c r="A119" s="9"/>
      <c r="B119" s="22">
        <v>26</v>
      </c>
      <c r="C119" s="23" t="s">
        <v>167</v>
      </c>
      <c r="D119" s="23" t="s">
        <v>25</v>
      </c>
      <c r="E119" s="23" t="s">
        <v>168</v>
      </c>
      <c r="F119" s="24" t="s">
        <v>64</v>
      </c>
      <c r="G119" s="30">
        <f>ROUND(61,3)</f>
        <v>61</v>
      </c>
      <c r="H119" s="42">
        <f>ROUND(0,2)</f>
        <v>0</v>
      </c>
      <c r="I119" s="31">
        <f>ROUND(H119*G119,2)</f>
        <v>0</v>
      </c>
      <c r="J119" s="46" t="s">
        <v>25</v>
      </c>
      <c r="K119" s="31">
        <f>IF(ISNUMBER(J119),ROUND(I119*(J119+1),2),0)</f>
        <v>0</v>
      </c>
      <c r="L119" s="10"/>
      <c r="M119" s="4"/>
      <c r="N119" s="4"/>
      <c r="O119" s="4"/>
      <c r="P119" s="4"/>
      <c r="Q119" s="1">
        <f>IF(ISNUMBER(J119),IF(G119&gt;0,IF(H119&gt;0,I119,0),0),0)</f>
        <v>0</v>
      </c>
      <c r="R119" s="1">
        <f>IF(ISNUMBER(J119)=FALSE,I119,0)</f>
        <v>0</v>
      </c>
    </row>
    <row r="120" spans="1:19">
      <c r="A120" s="9"/>
      <c r="B120" s="283" t="s">
        <v>27</v>
      </c>
      <c r="C120" s="276"/>
      <c r="D120" s="276"/>
      <c r="E120" s="27" t="s">
        <v>169</v>
      </c>
      <c r="F120" s="3"/>
      <c r="G120" s="3"/>
      <c r="H120" s="39"/>
      <c r="I120" s="3"/>
      <c r="J120" s="39"/>
      <c r="K120" s="3"/>
      <c r="L120" s="10"/>
      <c r="M120" s="4"/>
      <c r="N120" s="4"/>
      <c r="O120" s="4"/>
      <c r="P120" s="4"/>
    </row>
    <row r="121" spans="1:19" ht="51.75" thickBot="1">
      <c r="A121" s="9"/>
      <c r="B121" s="281" t="s">
        <v>28</v>
      </c>
      <c r="C121" s="282"/>
      <c r="D121" s="282"/>
      <c r="E121" s="29" t="s">
        <v>170</v>
      </c>
      <c r="F121" s="28"/>
      <c r="G121" s="28"/>
      <c r="H121" s="41"/>
      <c r="I121" s="28"/>
      <c r="J121" s="41"/>
      <c r="K121" s="28"/>
      <c r="L121" s="10"/>
      <c r="M121" s="4"/>
      <c r="N121" s="4"/>
      <c r="O121" s="4"/>
      <c r="P121" s="4"/>
    </row>
    <row r="122" spans="1:19" ht="13.5" thickTop="1">
      <c r="A122" s="9"/>
      <c r="B122" s="22">
        <v>27</v>
      </c>
      <c r="C122" s="23" t="s">
        <v>171</v>
      </c>
      <c r="D122" s="23" t="s">
        <v>25</v>
      </c>
      <c r="E122" s="23" t="s">
        <v>172</v>
      </c>
      <c r="F122" s="24" t="s">
        <v>64</v>
      </c>
      <c r="G122" s="30">
        <f>ROUND(59.5,3)</f>
        <v>59.5</v>
      </c>
      <c r="H122" s="42">
        <f>ROUND(0,2)</f>
        <v>0</v>
      </c>
      <c r="I122" s="31">
        <f>ROUND(H122*G122,2)</f>
        <v>0</v>
      </c>
      <c r="J122" s="46" t="s">
        <v>25</v>
      </c>
      <c r="K122" s="31">
        <f>IF(ISNUMBER(J122),ROUND(I122*(J122+1),2),0)</f>
        <v>0</v>
      </c>
      <c r="L122" s="10"/>
      <c r="M122" s="4"/>
      <c r="N122" s="4"/>
      <c r="O122" s="4"/>
      <c r="P122" s="4"/>
      <c r="Q122" s="1">
        <f>IF(ISNUMBER(J122),IF(G122&gt;0,IF(H122&gt;0,I122,0),0),0)</f>
        <v>0</v>
      </c>
      <c r="R122" s="1">
        <f>IF(ISNUMBER(J122)=FALSE,I122,0)</f>
        <v>0</v>
      </c>
    </row>
    <row r="123" spans="1:19">
      <c r="A123" s="9"/>
      <c r="B123" s="283" t="s">
        <v>27</v>
      </c>
      <c r="C123" s="276"/>
      <c r="D123" s="276"/>
      <c r="E123" s="27" t="s">
        <v>25</v>
      </c>
      <c r="F123" s="3"/>
      <c r="G123" s="3"/>
      <c r="H123" s="39"/>
      <c r="I123" s="3"/>
      <c r="J123" s="39"/>
      <c r="K123" s="3"/>
      <c r="L123" s="10"/>
      <c r="M123" s="4"/>
      <c r="N123" s="4"/>
      <c r="O123" s="4"/>
      <c r="P123" s="4"/>
    </row>
    <row r="124" spans="1:19" ht="13.5" thickBot="1">
      <c r="A124" s="9"/>
      <c r="B124" s="281" t="s">
        <v>28</v>
      </c>
      <c r="C124" s="282"/>
      <c r="D124" s="282"/>
      <c r="E124" s="29" t="s">
        <v>25</v>
      </c>
      <c r="F124" s="28"/>
      <c r="G124" s="28"/>
      <c r="H124" s="41"/>
      <c r="I124" s="28"/>
      <c r="J124" s="41"/>
      <c r="K124" s="28"/>
      <c r="L124" s="10"/>
      <c r="M124" s="4"/>
      <c r="N124" s="4"/>
      <c r="O124" s="4"/>
      <c r="P124" s="4"/>
    </row>
    <row r="125" spans="1:19" ht="13.5" thickTop="1">
      <c r="A125" s="9"/>
      <c r="B125" s="22">
        <v>28</v>
      </c>
      <c r="C125" s="23" t="s">
        <v>173</v>
      </c>
      <c r="D125" s="23" t="s">
        <v>25</v>
      </c>
      <c r="E125" s="23" t="s">
        <v>174</v>
      </c>
      <c r="F125" s="24" t="s">
        <v>64</v>
      </c>
      <c r="G125" s="30">
        <f>ROUND(25,3)</f>
        <v>25</v>
      </c>
      <c r="H125" s="42">
        <f>ROUND(0,2)</f>
        <v>0</v>
      </c>
      <c r="I125" s="31">
        <f>ROUND(H125*G125,2)</f>
        <v>0</v>
      </c>
      <c r="J125" s="46" t="s">
        <v>25</v>
      </c>
      <c r="K125" s="31">
        <f>IF(ISNUMBER(J125),ROUND(I125*(J125+1),2),0)</f>
        <v>0</v>
      </c>
      <c r="L125" s="10"/>
      <c r="M125" s="4"/>
      <c r="N125" s="4"/>
      <c r="O125" s="4"/>
      <c r="P125" s="4"/>
      <c r="Q125" s="1">
        <f>IF(ISNUMBER(J125),IF(G125&gt;0,IF(H125&gt;0,I125,0),0),0)</f>
        <v>0</v>
      </c>
      <c r="R125" s="1">
        <f>IF(ISNUMBER(J125)=FALSE,I125,0)</f>
        <v>0</v>
      </c>
    </row>
    <row r="126" spans="1:19">
      <c r="A126" s="9"/>
      <c r="B126" s="283" t="s">
        <v>27</v>
      </c>
      <c r="C126" s="276"/>
      <c r="D126" s="276"/>
      <c r="E126" s="27" t="s">
        <v>25</v>
      </c>
      <c r="F126" s="3"/>
      <c r="G126" s="3"/>
      <c r="H126" s="39"/>
      <c r="I126" s="3"/>
      <c r="J126" s="39"/>
      <c r="K126" s="3"/>
      <c r="L126" s="10"/>
      <c r="M126" s="4"/>
      <c r="N126" s="4"/>
      <c r="O126" s="4"/>
      <c r="P126" s="4"/>
    </row>
    <row r="127" spans="1:19" ht="13.5" thickBot="1">
      <c r="A127" s="9"/>
      <c r="B127" s="281" t="s">
        <v>28</v>
      </c>
      <c r="C127" s="282"/>
      <c r="D127" s="282"/>
      <c r="E127" s="29" t="s">
        <v>25</v>
      </c>
      <c r="F127" s="28"/>
      <c r="G127" s="28"/>
      <c r="H127" s="41"/>
      <c r="I127" s="28"/>
      <c r="J127" s="41"/>
      <c r="K127" s="28"/>
      <c r="L127" s="10"/>
      <c r="M127" s="4"/>
      <c r="N127" s="4"/>
      <c r="O127" s="4"/>
      <c r="P127" s="4"/>
    </row>
    <row r="128" spans="1:19" ht="24.95" customHeight="1" thickTop="1" thickBot="1">
      <c r="A128" s="9"/>
      <c r="B128" s="32"/>
      <c r="C128" s="33">
        <v>9</v>
      </c>
      <c r="D128" s="32"/>
      <c r="E128" s="34" t="s">
        <v>87</v>
      </c>
      <c r="F128" s="35" t="s">
        <v>44</v>
      </c>
      <c r="G128" s="36">
        <f>I116+I119+I122+I125</f>
        <v>0</v>
      </c>
      <c r="H128" s="43" t="s">
        <v>45</v>
      </c>
      <c r="I128" s="37">
        <f>IF(COUNT(J116:J128)&gt;0,AVERAGE(J116:J128),0.21)</f>
        <v>0.21</v>
      </c>
      <c r="J128" s="43" t="s">
        <v>46</v>
      </c>
      <c r="K128" s="36">
        <f>ROUND(Q128*(1+I128),2)+R128</f>
        <v>0</v>
      </c>
      <c r="L128" s="10"/>
      <c r="M128" s="4"/>
      <c r="N128" s="4"/>
      <c r="O128" s="4"/>
      <c r="P128" s="4"/>
      <c r="Q128" s="1">
        <f>0+Q116+Q119+Q122+Q125</f>
        <v>0</v>
      </c>
      <c r="R128" s="1">
        <f>0+R116+R119+R122+R125</f>
        <v>0</v>
      </c>
      <c r="S128" s="2">
        <f>Q128*(1+I128)+R128</f>
        <v>0</v>
      </c>
    </row>
    <row r="129" spans="1:16">
      <c r="A129" s="11"/>
      <c r="B129" s="5"/>
      <c r="C129" s="5"/>
      <c r="D129" s="5"/>
      <c r="E129" s="38"/>
      <c r="F129" s="5"/>
      <c r="G129" s="5"/>
      <c r="H129" s="44"/>
      <c r="I129" s="5"/>
      <c r="J129" s="44"/>
      <c r="K129" s="5"/>
      <c r="L129" s="12"/>
      <c r="M129" s="4"/>
      <c r="N129" s="4"/>
      <c r="O129" s="4"/>
      <c r="P129" s="4"/>
    </row>
  </sheetData>
  <autoFilter ref="A1:S1" xr:uid="{00000000-0009-0000-0000-000003000000}">
    <filterColumn colId="3" showButton="0"/>
  </autoFilter>
  <mergeCells count="84">
    <mergeCell ref="A1:A2"/>
    <mergeCell ref="A3:F3"/>
    <mergeCell ref="B4:C5"/>
    <mergeCell ref="B6:I6"/>
    <mergeCell ref="D1:E2"/>
    <mergeCell ref="B8:C9"/>
    <mergeCell ref="A10:D10"/>
    <mergeCell ref="A11:G11"/>
    <mergeCell ref="A12:G12"/>
    <mergeCell ref="A13:G13"/>
    <mergeCell ref="B20:D20"/>
    <mergeCell ref="B17:C18"/>
    <mergeCell ref="B19:D19"/>
    <mergeCell ref="E19:F19"/>
    <mergeCell ref="B28:C29"/>
    <mergeCell ref="B21:D21"/>
    <mergeCell ref="B22:D22"/>
    <mergeCell ref="B42:D42"/>
    <mergeCell ref="B44:D44"/>
    <mergeCell ref="B45:D45"/>
    <mergeCell ref="B23:D23"/>
    <mergeCell ref="B55:D55"/>
    <mergeCell ref="B24:D24"/>
    <mergeCell ref="B50:K50"/>
    <mergeCell ref="B48:D48"/>
    <mergeCell ref="B47:D47"/>
    <mergeCell ref="B34:D34"/>
    <mergeCell ref="B36:D36"/>
    <mergeCell ref="B37:D37"/>
    <mergeCell ref="B31:K31"/>
    <mergeCell ref="B33:D33"/>
    <mergeCell ref="B41:D41"/>
    <mergeCell ref="B56:D56"/>
    <mergeCell ref="B58:D58"/>
    <mergeCell ref="B59:D59"/>
    <mergeCell ref="B52:D52"/>
    <mergeCell ref="B53:D53"/>
    <mergeCell ref="B87:D87"/>
    <mergeCell ref="B89:D89"/>
    <mergeCell ref="B90:D90"/>
    <mergeCell ref="B103:D103"/>
    <mergeCell ref="B104:D104"/>
    <mergeCell ref="B92:D92"/>
    <mergeCell ref="B93:D93"/>
    <mergeCell ref="B95:D95"/>
    <mergeCell ref="B96:D96"/>
    <mergeCell ref="B98:D98"/>
    <mergeCell ref="B77:D77"/>
    <mergeCell ref="B78:D78"/>
    <mergeCell ref="B68:D68"/>
    <mergeCell ref="B25:D25"/>
    <mergeCell ref="B117:D117"/>
    <mergeCell ref="B99:D99"/>
    <mergeCell ref="B66:K66"/>
    <mergeCell ref="B81:D81"/>
    <mergeCell ref="B83:D83"/>
    <mergeCell ref="B69:D69"/>
    <mergeCell ref="B71:D71"/>
    <mergeCell ref="B72:D72"/>
    <mergeCell ref="B39:K39"/>
    <mergeCell ref="B74:D74"/>
    <mergeCell ref="B84:D84"/>
    <mergeCell ref="B86:D86"/>
    <mergeCell ref="B106:D106"/>
    <mergeCell ref="B107:D107"/>
    <mergeCell ref="B109:D109"/>
    <mergeCell ref="B110:D110"/>
    <mergeCell ref="B112:D112"/>
    <mergeCell ref="B127:D127"/>
    <mergeCell ref="B115:K115"/>
    <mergeCell ref="B26:D26"/>
    <mergeCell ref="B120:D120"/>
    <mergeCell ref="B121:D121"/>
    <mergeCell ref="B123:D123"/>
    <mergeCell ref="B124:D124"/>
    <mergeCell ref="B126:D126"/>
    <mergeCell ref="B113:D113"/>
    <mergeCell ref="B101:K101"/>
    <mergeCell ref="B75:D75"/>
    <mergeCell ref="B63:D63"/>
    <mergeCell ref="B64:D64"/>
    <mergeCell ref="B61:K61"/>
    <mergeCell ref="B80:D80"/>
    <mergeCell ref="B118:D118"/>
  </mergeCells>
  <pageMargins left="0.39370078740157499" right="0.39370078740157499" top="0.59055118110236204" bottom="0.39370078740157499" header="0.196850393700787" footer="0.15748031496063"/>
  <pageSetup paperSize="9" fitToHeight="0" orientation="portrait"/>
  <headerFooter>
    <oddFooter>&amp;CLÁVKA PŘES LABE V NYMBURKU | Úprava zpevněných ploch u opěry 1&amp;R&amp;P/&amp;N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3 - SO152NN_cm">
    <tabColor theme="5" tint="0.39997558519241921"/>
    <pageSetUpPr fitToPage="1"/>
  </sheetPr>
  <dimension ref="A1:S33"/>
  <sheetViews>
    <sheetView workbookViewId="0">
      <selection sqref="A1:A2"/>
    </sheetView>
  </sheetViews>
  <sheetFormatPr defaultRowHeight="12.75"/>
  <cols>
    <col min="1" max="1" width="4.7109375"/>
    <col min="2" max="2" width="5.7109375"/>
    <col min="3" max="3" width="11.7109375"/>
    <col min="4" max="4" width="5.7109375"/>
    <col min="5" max="5" width="80.7109375"/>
    <col min="6" max="6" width="20.7109375"/>
    <col min="7" max="11" width="22.7109375"/>
    <col min="12" max="12" width="4.7109375"/>
    <col min="17" max="19" width="0" hidden="1"/>
  </cols>
  <sheetData>
    <row r="1" spans="1:19">
      <c r="A1" s="276"/>
      <c r="B1" s="3"/>
      <c r="C1" s="3"/>
      <c r="D1" s="280" t="s">
        <v>0</v>
      </c>
      <c r="E1" s="276"/>
      <c r="F1" s="3"/>
      <c r="G1" s="3"/>
      <c r="H1" s="3"/>
      <c r="I1" s="3"/>
      <c r="J1" s="3"/>
      <c r="K1" s="3"/>
      <c r="L1" s="3"/>
      <c r="M1" s="4"/>
      <c r="N1" s="4"/>
      <c r="O1" s="4"/>
      <c r="P1" s="4"/>
    </row>
    <row r="2" spans="1:19">
      <c r="A2" s="276"/>
      <c r="B2" s="3"/>
      <c r="C2" s="3"/>
      <c r="D2" s="276"/>
      <c r="E2" s="276"/>
      <c r="F2" s="3"/>
      <c r="G2" s="3"/>
      <c r="H2" s="3"/>
      <c r="I2" s="3"/>
      <c r="J2" s="3"/>
      <c r="K2" s="3"/>
      <c r="L2" s="3"/>
      <c r="M2" s="4"/>
      <c r="N2" s="4"/>
      <c r="O2" s="4"/>
      <c r="P2" s="4"/>
    </row>
    <row r="3" spans="1:19" ht="24" customHeight="1">
      <c r="A3" s="278" t="s">
        <v>1</v>
      </c>
      <c r="B3" s="276"/>
      <c r="C3" s="276"/>
      <c r="D3" s="276"/>
      <c r="E3" s="276"/>
      <c r="F3" s="276"/>
      <c r="G3" s="3"/>
      <c r="H3" s="3"/>
      <c r="I3" s="3"/>
      <c r="J3" s="3"/>
      <c r="K3" s="3"/>
      <c r="L3" s="3"/>
      <c r="M3" s="4"/>
      <c r="N3" s="4"/>
      <c r="O3" s="4"/>
      <c r="P3" s="4"/>
    </row>
    <row r="4" spans="1:19" ht="6" customHeight="1">
      <c r="A4" s="5"/>
      <c r="B4" s="289" t="s">
        <v>2</v>
      </c>
      <c r="C4" s="290"/>
      <c r="D4" s="5"/>
      <c r="E4" s="5"/>
      <c r="F4" s="5"/>
      <c r="G4" s="5"/>
      <c r="H4" s="5"/>
      <c r="I4" s="5"/>
      <c r="J4" s="5"/>
      <c r="K4" s="5"/>
      <c r="L4" s="5"/>
      <c r="M4" s="4"/>
      <c r="N4" s="4"/>
      <c r="O4" s="4"/>
      <c r="P4" s="4"/>
    </row>
    <row r="5" spans="1:19" ht="6" customHeight="1">
      <c r="A5" s="6"/>
      <c r="B5" s="273"/>
      <c r="C5" s="273"/>
      <c r="D5" s="7"/>
      <c r="E5" s="7"/>
      <c r="F5" s="7"/>
      <c r="G5" s="7"/>
      <c r="H5" s="7"/>
      <c r="I5" s="7"/>
      <c r="J5" s="7"/>
      <c r="K5" s="7"/>
      <c r="L5" s="8"/>
      <c r="M5" s="4"/>
      <c r="N5" s="4"/>
      <c r="O5" s="4"/>
      <c r="P5" s="4"/>
    </row>
    <row r="6" spans="1:19" ht="33.950000000000003" customHeight="1">
      <c r="A6" s="9"/>
      <c r="B6" s="297" t="s">
        <v>3</v>
      </c>
      <c r="C6" s="276"/>
      <c r="D6" s="276"/>
      <c r="E6" s="276"/>
      <c r="F6" s="276"/>
      <c r="G6" s="276"/>
      <c r="H6" s="276"/>
      <c r="I6" s="276"/>
      <c r="J6" s="3"/>
      <c r="K6" s="3"/>
      <c r="L6" s="10"/>
      <c r="M6" s="4"/>
      <c r="N6" s="4"/>
      <c r="O6" s="4"/>
      <c r="P6" s="4"/>
    </row>
    <row r="7" spans="1:19">
      <c r="A7" s="11"/>
      <c r="B7" s="5"/>
      <c r="C7" s="5"/>
      <c r="D7" s="5"/>
      <c r="E7" s="5"/>
      <c r="F7" s="5"/>
      <c r="G7" s="5"/>
      <c r="H7" s="5"/>
      <c r="I7" s="5"/>
      <c r="J7" s="5"/>
      <c r="K7" s="5"/>
      <c r="L7" s="12"/>
      <c r="M7" s="4"/>
      <c r="N7" s="4"/>
      <c r="O7" s="4"/>
      <c r="P7" s="4"/>
    </row>
    <row r="8" spans="1:19" ht="14.1" customHeight="1">
      <c r="A8" s="5"/>
      <c r="B8" s="293" t="s">
        <v>4</v>
      </c>
      <c r="C8" s="290"/>
      <c r="D8" s="5"/>
      <c r="E8" s="5"/>
      <c r="F8" s="5"/>
      <c r="G8" s="5"/>
      <c r="H8" s="5"/>
      <c r="I8" s="5"/>
      <c r="J8" s="5"/>
      <c r="K8" s="5"/>
      <c r="L8" s="5"/>
      <c r="M8" s="4"/>
      <c r="N8" s="4"/>
      <c r="O8" s="4"/>
      <c r="P8" s="4"/>
    </row>
    <row r="9" spans="1:19" ht="8.1" customHeight="1">
      <c r="A9" s="6"/>
      <c r="B9" s="273"/>
      <c r="C9" s="273"/>
      <c r="D9" s="7"/>
      <c r="E9" s="7"/>
      <c r="F9" s="7"/>
      <c r="G9" s="7"/>
      <c r="H9" s="7"/>
      <c r="I9" s="7"/>
      <c r="J9" s="7"/>
      <c r="K9" s="7"/>
      <c r="L9" s="8"/>
      <c r="M9" s="4"/>
      <c r="N9" s="4"/>
      <c r="O9" s="4"/>
      <c r="P9" s="4"/>
    </row>
    <row r="10" spans="1:19">
      <c r="A10" s="275" t="s">
        <v>5</v>
      </c>
      <c r="B10" s="276"/>
      <c r="C10" s="294"/>
      <c r="D10" s="276"/>
      <c r="E10" s="3"/>
      <c r="F10" s="14"/>
      <c r="G10" s="3"/>
      <c r="H10" s="15" t="s">
        <v>88</v>
      </c>
      <c r="I10" s="16">
        <f>G32</f>
        <v>0</v>
      </c>
      <c r="J10" s="3"/>
      <c r="K10" s="3"/>
      <c r="L10" s="10"/>
      <c r="M10" s="4"/>
      <c r="N10" s="4"/>
      <c r="O10" s="4"/>
      <c r="P10" s="4"/>
    </row>
    <row r="11" spans="1:19" ht="15.95" customHeight="1">
      <c r="A11" s="277" t="s">
        <v>175</v>
      </c>
      <c r="B11" s="276"/>
      <c r="C11" s="276"/>
      <c r="D11" s="276"/>
      <c r="E11" s="276"/>
      <c r="F11" s="295"/>
      <c r="G11" s="276"/>
      <c r="H11" s="15" t="s">
        <v>89</v>
      </c>
      <c r="I11" s="16">
        <f>ROUND(I10*(1+Q11),2)</f>
        <v>0</v>
      </c>
      <c r="J11" s="3"/>
      <c r="K11" s="3"/>
      <c r="L11" s="10"/>
      <c r="M11" s="4"/>
      <c r="N11" s="4"/>
      <c r="O11" s="4"/>
      <c r="P11" s="4"/>
      <c r="Q11" s="1">
        <f>IF(SUM(J20:J20)&gt;0,ROUND(SUM(S20:S20)/SUM(J20:J20)-1,8),0)</f>
        <v>0</v>
      </c>
      <c r="R11" s="1">
        <f>AVERAGE(I32)</f>
        <v>0.21</v>
      </c>
      <c r="S11" s="1">
        <f>I10*(1+Q11)</f>
        <v>0</v>
      </c>
    </row>
    <row r="12" spans="1:19">
      <c r="A12" s="275" t="s">
        <v>7</v>
      </c>
      <c r="B12" s="276"/>
      <c r="C12" s="294"/>
      <c r="D12" s="276"/>
      <c r="E12" s="276"/>
      <c r="F12" s="296"/>
      <c r="G12" s="276"/>
      <c r="H12" s="3"/>
      <c r="I12" s="3"/>
      <c r="J12" s="3"/>
      <c r="K12" s="3"/>
      <c r="L12" s="10"/>
      <c r="M12" s="4"/>
      <c r="N12" s="4"/>
      <c r="O12" s="4"/>
      <c r="P12" s="4"/>
    </row>
    <row r="13" spans="1:19" ht="15.95" customHeight="1">
      <c r="A13" s="277">
        <f>Souhrn!A13</f>
        <v>0</v>
      </c>
      <c r="B13" s="276"/>
      <c r="C13" s="276"/>
      <c r="D13" s="276"/>
      <c r="E13" s="276"/>
      <c r="F13" s="295"/>
      <c r="G13" s="276"/>
      <c r="H13" s="15" t="s">
        <v>8</v>
      </c>
      <c r="I13" s="13">
        <f>Souhrn!E13</f>
        <v>0</v>
      </c>
      <c r="J13" s="3"/>
      <c r="K13" s="3"/>
      <c r="L13" s="10"/>
      <c r="M13" s="4"/>
      <c r="N13" s="4"/>
      <c r="O13" s="4"/>
      <c r="P13" s="4"/>
    </row>
    <row r="14" spans="1:19">
      <c r="A14" s="9"/>
      <c r="B14" s="3"/>
      <c r="C14" s="3"/>
      <c r="D14" s="3"/>
      <c r="E14" s="3"/>
      <c r="F14" s="3"/>
      <c r="G14" s="3"/>
      <c r="H14" s="15" t="s">
        <v>9</v>
      </c>
      <c r="I14" s="13">
        <f>Souhrn!E14</f>
        <v>0</v>
      </c>
      <c r="J14" s="3"/>
      <c r="K14" s="3"/>
      <c r="L14" s="10"/>
      <c r="M14" s="4"/>
      <c r="N14" s="4"/>
      <c r="O14" s="4"/>
      <c r="P14" s="4"/>
    </row>
    <row r="15" spans="1:19" hidden="1">
      <c r="A15" s="9"/>
      <c r="B15" s="3"/>
      <c r="C15" s="3"/>
      <c r="D15" s="3"/>
      <c r="E15" s="3"/>
      <c r="F15" s="3"/>
      <c r="G15" s="3"/>
      <c r="H15" s="3"/>
      <c r="I15" s="3"/>
      <c r="J15" s="3"/>
      <c r="K15" s="3"/>
      <c r="L15" s="10"/>
      <c r="M15" s="4"/>
      <c r="N15" s="4"/>
      <c r="O15" s="4"/>
      <c r="P15" s="4"/>
    </row>
    <row r="16" spans="1:19" ht="9.9499999999999993" customHeight="1">
      <c r="A16" s="11"/>
      <c r="B16" s="5"/>
      <c r="C16" s="5"/>
      <c r="D16" s="5"/>
      <c r="E16" s="5"/>
      <c r="F16" s="5"/>
      <c r="G16" s="5"/>
      <c r="H16" s="5"/>
      <c r="I16" s="5"/>
      <c r="J16" s="5"/>
      <c r="K16" s="5"/>
      <c r="L16" s="12"/>
      <c r="M16" s="4"/>
      <c r="N16" s="4"/>
      <c r="O16" s="4"/>
      <c r="P16" s="4"/>
    </row>
    <row r="17" spans="1:19" ht="14.1" customHeight="1">
      <c r="A17" s="5"/>
      <c r="B17" s="289" t="s">
        <v>10</v>
      </c>
      <c r="C17" s="290"/>
      <c r="D17" s="5"/>
      <c r="E17" s="5"/>
      <c r="F17" s="5"/>
      <c r="G17" s="5"/>
      <c r="H17" s="5"/>
      <c r="I17" s="5"/>
      <c r="J17" s="5"/>
      <c r="K17" s="5"/>
      <c r="L17" s="5"/>
      <c r="M17" s="4"/>
      <c r="N17" s="4"/>
      <c r="O17" s="4"/>
      <c r="P17" s="4"/>
    </row>
    <row r="18" spans="1:19" ht="6" customHeight="1">
      <c r="A18" s="6"/>
      <c r="B18" s="273"/>
      <c r="C18" s="273"/>
      <c r="D18" s="7"/>
      <c r="E18" s="7"/>
      <c r="F18" s="7"/>
      <c r="G18" s="7"/>
      <c r="H18" s="7"/>
      <c r="I18" s="7"/>
      <c r="J18" s="7"/>
      <c r="K18" s="7"/>
      <c r="L18" s="8"/>
      <c r="M18" s="4"/>
      <c r="N18" s="4"/>
      <c r="O18" s="4"/>
      <c r="P18" s="4"/>
    </row>
    <row r="19" spans="1:19" ht="18" customHeight="1">
      <c r="A19" s="9"/>
      <c r="B19" s="291" t="s">
        <v>11</v>
      </c>
      <c r="C19" s="291"/>
      <c r="D19" s="291"/>
      <c r="E19" s="291" t="s">
        <v>12</v>
      </c>
      <c r="F19" s="292"/>
      <c r="G19" s="19"/>
      <c r="H19" s="19"/>
      <c r="I19" s="19"/>
      <c r="J19" s="19" t="s">
        <v>13</v>
      </c>
      <c r="K19" s="19" t="s">
        <v>14</v>
      </c>
      <c r="L19" s="10"/>
      <c r="M19" s="4"/>
      <c r="N19" s="4"/>
      <c r="O19" s="4"/>
      <c r="P19" s="4"/>
    </row>
    <row r="20" spans="1:19">
      <c r="A20" s="9"/>
      <c r="B20" s="287">
        <v>9</v>
      </c>
      <c r="C20" s="276"/>
      <c r="D20" s="276"/>
      <c r="E20" s="20" t="s">
        <v>87</v>
      </c>
      <c r="F20" s="3"/>
      <c r="G20" s="3"/>
      <c r="H20" s="3"/>
      <c r="I20" s="3"/>
      <c r="J20" s="21">
        <f>G32</f>
        <v>0</v>
      </c>
      <c r="K20" s="21">
        <f>K32</f>
        <v>0</v>
      </c>
      <c r="L20" s="10"/>
      <c r="M20" s="4"/>
      <c r="N20" s="4"/>
      <c r="O20" s="4"/>
      <c r="P20" s="4"/>
      <c r="S20" s="1">
        <f>S32</f>
        <v>0</v>
      </c>
    </row>
    <row r="21" spans="1:19">
      <c r="A21" s="11"/>
      <c r="B21" s="5"/>
      <c r="C21" s="5"/>
      <c r="D21" s="5"/>
      <c r="E21" s="5"/>
      <c r="F21" s="5"/>
      <c r="G21" s="5"/>
      <c r="H21" s="5"/>
      <c r="I21" s="5"/>
      <c r="J21" s="5"/>
      <c r="K21" s="5"/>
      <c r="L21" s="12"/>
      <c r="M21" s="4"/>
      <c r="N21" s="4"/>
      <c r="O21" s="4"/>
      <c r="P21" s="4"/>
    </row>
    <row r="22" spans="1:19" ht="14.1" customHeight="1">
      <c r="A22" s="5"/>
      <c r="B22" s="289" t="s">
        <v>15</v>
      </c>
      <c r="C22" s="290"/>
      <c r="D22" s="5"/>
      <c r="E22" s="5"/>
      <c r="F22" s="5"/>
      <c r="G22" s="5"/>
      <c r="H22" s="5"/>
      <c r="I22" s="5"/>
      <c r="J22" s="5"/>
      <c r="K22" s="5"/>
      <c r="L22" s="5"/>
      <c r="M22" s="4"/>
      <c r="N22" s="4"/>
      <c r="O22" s="4"/>
      <c r="P22" s="4"/>
    </row>
    <row r="23" spans="1:19" ht="18" customHeight="1">
      <c r="A23" s="6"/>
      <c r="B23" s="273"/>
      <c r="C23" s="273"/>
      <c r="D23" s="7"/>
      <c r="E23" s="7"/>
      <c r="F23" s="7"/>
      <c r="G23" s="7"/>
      <c r="H23" s="7"/>
      <c r="I23" s="7"/>
      <c r="J23" s="7"/>
      <c r="K23" s="7"/>
      <c r="L23" s="8"/>
      <c r="M23" s="4"/>
      <c r="N23" s="4"/>
      <c r="O23" s="4"/>
      <c r="P23" s="4"/>
    </row>
    <row r="24" spans="1:19" ht="18" customHeight="1">
      <c r="A24" s="9"/>
      <c r="B24" s="17" t="s">
        <v>16</v>
      </c>
      <c r="C24" s="17" t="s">
        <v>11</v>
      </c>
      <c r="D24" s="17" t="s">
        <v>17</v>
      </c>
      <c r="E24" s="17" t="s">
        <v>12</v>
      </c>
      <c r="F24" s="18" t="s">
        <v>18</v>
      </c>
      <c r="G24" s="19" t="s">
        <v>19</v>
      </c>
      <c r="H24" s="19" t="s">
        <v>20</v>
      </c>
      <c r="I24" s="19" t="s">
        <v>13</v>
      </c>
      <c r="J24" s="18" t="s">
        <v>21</v>
      </c>
      <c r="K24" s="19" t="s">
        <v>14</v>
      </c>
      <c r="L24" s="10"/>
      <c r="M24" s="4"/>
      <c r="N24" s="4"/>
      <c r="O24" s="4"/>
      <c r="P24" s="4"/>
    </row>
    <row r="25" spans="1:19" ht="39.950000000000003" customHeight="1">
      <c r="A25" s="9"/>
      <c r="B25" s="288" t="s">
        <v>86</v>
      </c>
      <c r="C25" s="276"/>
      <c r="D25" s="276"/>
      <c r="E25" s="276"/>
      <c r="F25" s="276"/>
      <c r="G25" s="276"/>
      <c r="H25" s="286"/>
      <c r="I25" s="276"/>
      <c r="J25" s="286"/>
      <c r="K25" s="276"/>
      <c r="L25" s="10"/>
      <c r="M25" s="4"/>
      <c r="N25" s="4"/>
      <c r="O25" s="4"/>
      <c r="P25" s="4"/>
    </row>
    <row r="26" spans="1:19">
      <c r="A26" s="9"/>
      <c r="B26" s="22">
        <v>1</v>
      </c>
      <c r="C26" s="23" t="s">
        <v>176</v>
      </c>
      <c r="D26" s="23" t="s">
        <v>92</v>
      </c>
      <c r="E26" s="23" t="s">
        <v>177</v>
      </c>
      <c r="F26" s="24" t="s">
        <v>52</v>
      </c>
      <c r="G26" s="25">
        <f>ROUND(1,3)</f>
        <v>1</v>
      </c>
      <c r="H26" s="40">
        <f>ROUND(0,2)</f>
        <v>0</v>
      </c>
      <c r="I26" s="26">
        <f>ROUND(H26*G26,2)</f>
        <v>0</v>
      </c>
      <c r="J26" s="45" t="s">
        <v>25</v>
      </c>
      <c r="K26" s="26">
        <f>IF(ISNUMBER(J26),ROUND(I26*(J26+1),2),0)</f>
        <v>0</v>
      </c>
      <c r="L26" s="10"/>
      <c r="M26" s="4"/>
      <c r="N26" s="4"/>
      <c r="O26" s="4"/>
      <c r="P26" s="4"/>
      <c r="Q26" s="1">
        <f>IF(ISNUMBER(J26),IF(G26&gt;0,IF(H26&gt;0,I26,0),0),0)</f>
        <v>0</v>
      </c>
      <c r="R26" s="1">
        <f>IF(ISNUMBER(J26)=FALSE,I26,0)</f>
        <v>0</v>
      </c>
    </row>
    <row r="27" spans="1:19">
      <c r="A27" s="9"/>
      <c r="B27" s="283" t="s">
        <v>27</v>
      </c>
      <c r="C27" s="276"/>
      <c r="D27" s="276"/>
      <c r="E27" s="27" t="s">
        <v>25</v>
      </c>
      <c r="F27" s="3"/>
      <c r="G27" s="3"/>
      <c r="H27" s="39"/>
      <c r="I27" s="3"/>
      <c r="J27" s="39"/>
      <c r="K27" s="3"/>
      <c r="L27" s="10"/>
      <c r="M27" s="4"/>
      <c r="N27" s="4"/>
      <c r="O27" s="4"/>
      <c r="P27" s="4"/>
    </row>
    <row r="28" spans="1:19" ht="13.5" thickBot="1">
      <c r="A28" s="9"/>
      <c r="B28" s="281" t="s">
        <v>28</v>
      </c>
      <c r="C28" s="282"/>
      <c r="D28" s="282"/>
      <c r="E28" s="29" t="s">
        <v>25</v>
      </c>
      <c r="F28" s="28"/>
      <c r="G28" s="28"/>
      <c r="H28" s="41"/>
      <c r="I28" s="28"/>
      <c r="J28" s="41"/>
      <c r="K28" s="28"/>
      <c r="L28" s="10"/>
      <c r="M28" s="4"/>
      <c r="N28" s="4"/>
      <c r="O28" s="4"/>
      <c r="P28" s="4"/>
    </row>
    <row r="29" spans="1:19" ht="13.5" thickTop="1">
      <c r="A29" s="9"/>
      <c r="B29" s="22">
        <v>2</v>
      </c>
      <c r="C29" s="23" t="s">
        <v>94</v>
      </c>
      <c r="D29" s="23" t="s">
        <v>92</v>
      </c>
      <c r="E29" s="23" t="s">
        <v>95</v>
      </c>
      <c r="F29" s="24" t="s">
        <v>52</v>
      </c>
      <c r="G29" s="30">
        <f>ROUND(1,3)</f>
        <v>1</v>
      </c>
      <c r="H29" s="42">
        <f>ROUND(0,2)</f>
        <v>0</v>
      </c>
      <c r="I29" s="31">
        <f>ROUND(H29*G29,2)</f>
        <v>0</v>
      </c>
      <c r="J29" s="46" t="s">
        <v>25</v>
      </c>
      <c r="K29" s="31">
        <f>IF(ISNUMBER(J29),ROUND(I29*(J29+1),2),0)</f>
        <v>0</v>
      </c>
      <c r="L29" s="10"/>
      <c r="M29" s="4"/>
      <c r="N29" s="4"/>
      <c r="O29" s="4"/>
      <c r="P29" s="4"/>
      <c r="Q29" s="1">
        <f>IF(ISNUMBER(J29),IF(G29&gt;0,IF(H29&gt;0,I29,0),0),0)</f>
        <v>0</v>
      </c>
      <c r="R29" s="1">
        <f>IF(ISNUMBER(J29)=FALSE,I29,0)</f>
        <v>0</v>
      </c>
    </row>
    <row r="30" spans="1:19">
      <c r="A30" s="9"/>
      <c r="B30" s="283" t="s">
        <v>27</v>
      </c>
      <c r="C30" s="276"/>
      <c r="D30" s="276"/>
      <c r="E30" s="27" t="s">
        <v>25</v>
      </c>
      <c r="F30" s="3"/>
      <c r="G30" s="3"/>
      <c r="H30" s="39"/>
      <c r="I30" s="3"/>
      <c r="J30" s="39"/>
      <c r="K30" s="3"/>
      <c r="L30" s="10"/>
      <c r="M30" s="4"/>
      <c r="N30" s="4"/>
      <c r="O30" s="4"/>
      <c r="P30" s="4"/>
    </row>
    <row r="31" spans="1:19" ht="13.5" thickBot="1">
      <c r="A31" s="9"/>
      <c r="B31" s="281" t="s">
        <v>28</v>
      </c>
      <c r="C31" s="282"/>
      <c r="D31" s="282"/>
      <c r="E31" s="29" t="s">
        <v>25</v>
      </c>
      <c r="F31" s="28"/>
      <c r="G31" s="28"/>
      <c r="H31" s="41"/>
      <c r="I31" s="28"/>
      <c r="J31" s="41"/>
      <c r="K31" s="28"/>
      <c r="L31" s="10"/>
      <c r="M31" s="4"/>
      <c r="N31" s="4"/>
      <c r="O31" s="4"/>
      <c r="P31" s="4"/>
    </row>
    <row r="32" spans="1:19" ht="24.95" customHeight="1" thickTop="1" thickBot="1">
      <c r="A32" s="9"/>
      <c r="B32" s="32"/>
      <c r="C32" s="33">
        <v>9</v>
      </c>
      <c r="D32" s="32"/>
      <c r="E32" s="34" t="s">
        <v>87</v>
      </c>
      <c r="F32" s="35" t="s">
        <v>44</v>
      </c>
      <c r="G32" s="36">
        <f>I26+I29</f>
        <v>0</v>
      </c>
      <c r="H32" s="43" t="s">
        <v>45</v>
      </c>
      <c r="I32" s="37">
        <f>IF(COUNT(J26:J32)&gt;0,AVERAGE(J26:J32),0.21)</f>
        <v>0.21</v>
      </c>
      <c r="J32" s="43" t="s">
        <v>46</v>
      </c>
      <c r="K32" s="36">
        <f>ROUND(Q32*(1+I32),2)+R32</f>
        <v>0</v>
      </c>
      <c r="L32" s="10"/>
      <c r="M32" s="4"/>
      <c r="N32" s="4"/>
      <c r="O32" s="4"/>
      <c r="P32" s="4"/>
      <c r="Q32" s="1">
        <f>0+Q26+Q29</f>
        <v>0</v>
      </c>
      <c r="R32" s="1">
        <f>0+R26+R29</f>
        <v>0</v>
      </c>
      <c r="S32" s="2">
        <f>Q32*(1+I32)+R32</f>
        <v>0</v>
      </c>
    </row>
    <row r="33" spans="1:16">
      <c r="A33" s="11"/>
      <c r="B33" s="5"/>
      <c r="C33" s="5"/>
      <c r="D33" s="5"/>
      <c r="E33" s="38"/>
      <c r="F33" s="5"/>
      <c r="G33" s="5"/>
      <c r="H33" s="44"/>
      <c r="I33" s="5"/>
      <c r="J33" s="44"/>
      <c r="K33" s="5"/>
      <c r="L33" s="12"/>
      <c r="M33" s="4"/>
      <c r="N33" s="4"/>
      <c r="O33" s="4"/>
      <c r="P33" s="4"/>
    </row>
  </sheetData>
  <autoFilter ref="A1:S1" xr:uid="{00000000-0009-0000-0000-000004000000}">
    <filterColumn colId="3" showButton="0"/>
  </autoFilter>
  <mergeCells count="20">
    <mergeCell ref="A1:A2"/>
    <mergeCell ref="A3:F3"/>
    <mergeCell ref="B4:C5"/>
    <mergeCell ref="B6:I6"/>
    <mergeCell ref="D1:E2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30:D30"/>
    <mergeCell ref="B31:D31"/>
    <mergeCell ref="B25:K25"/>
    <mergeCell ref="B20:D20"/>
  </mergeCells>
  <pageMargins left="0.39370078740157499" right="0.39370078740157499" top="0.59055118110236204" bottom="0.39370078740157499" header="0.196850393700787" footer="0.15748031496063"/>
  <pageSetup paperSize="9" fitToHeight="0" orientation="portrait"/>
  <headerFooter>
    <oddFooter>&amp;CLÁVKA PŘES LABE V NYMBURKU | Úprava zpevněných ploch na levém břehu Labe&amp;R&amp;P/&amp;N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4 - SO152UN_cm">
    <tabColor theme="8" tint="0.39997558519241921"/>
    <pageSetUpPr fitToPage="1"/>
  </sheetPr>
  <dimension ref="A1:S114"/>
  <sheetViews>
    <sheetView workbookViewId="0">
      <selection sqref="A1:A2"/>
    </sheetView>
  </sheetViews>
  <sheetFormatPr defaultRowHeight="12.75"/>
  <cols>
    <col min="1" max="1" width="4.7109375"/>
    <col min="2" max="2" width="5.7109375"/>
    <col min="3" max="3" width="11.7109375"/>
    <col min="4" max="4" width="5.7109375"/>
    <col min="5" max="5" width="80.7109375"/>
    <col min="6" max="6" width="20.7109375"/>
    <col min="7" max="11" width="22.7109375"/>
    <col min="12" max="12" width="4.7109375"/>
    <col min="17" max="19" width="0" hidden="1"/>
  </cols>
  <sheetData>
    <row r="1" spans="1:19">
      <c r="A1" s="276"/>
      <c r="B1" s="3"/>
      <c r="C1" s="3"/>
      <c r="D1" s="280" t="s">
        <v>0</v>
      </c>
      <c r="E1" s="276"/>
      <c r="F1" s="3"/>
      <c r="G1" s="3"/>
      <c r="H1" s="3"/>
      <c r="I1" s="3"/>
      <c r="J1" s="3"/>
      <c r="K1" s="3"/>
      <c r="L1" s="3"/>
      <c r="M1" s="4"/>
      <c r="N1" s="4"/>
      <c r="O1" s="4"/>
      <c r="P1" s="4"/>
    </row>
    <row r="2" spans="1:19">
      <c r="A2" s="276"/>
      <c r="B2" s="3"/>
      <c r="C2" s="3"/>
      <c r="D2" s="276"/>
      <c r="E2" s="276"/>
      <c r="F2" s="3"/>
      <c r="G2" s="3"/>
      <c r="H2" s="3"/>
      <c r="I2" s="3"/>
      <c r="J2" s="3"/>
      <c r="K2" s="3"/>
      <c r="L2" s="3"/>
      <c r="M2" s="4"/>
      <c r="N2" s="4"/>
      <c r="O2" s="4"/>
      <c r="P2" s="4"/>
    </row>
    <row r="3" spans="1:19" ht="24" customHeight="1">
      <c r="A3" s="278" t="s">
        <v>1</v>
      </c>
      <c r="B3" s="276"/>
      <c r="C3" s="276"/>
      <c r="D3" s="276"/>
      <c r="E3" s="276"/>
      <c r="F3" s="276"/>
      <c r="G3" s="3"/>
      <c r="H3" s="3"/>
      <c r="I3" s="3"/>
      <c r="J3" s="3"/>
      <c r="K3" s="3"/>
      <c r="L3" s="3"/>
      <c r="M3" s="4"/>
      <c r="N3" s="4"/>
      <c r="O3" s="4"/>
      <c r="P3" s="4"/>
    </row>
    <row r="4" spans="1:19" ht="6" customHeight="1">
      <c r="A4" s="5"/>
      <c r="B4" s="289" t="s">
        <v>2</v>
      </c>
      <c r="C4" s="290"/>
      <c r="D4" s="5"/>
      <c r="E4" s="5"/>
      <c r="F4" s="5"/>
      <c r="G4" s="5"/>
      <c r="H4" s="5"/>
      <c r="I4" s="5"/>
      <c r="J4" s="5"/>
      <c r="K4" s="5"/>
      <c r="L4" s="5"/>
      <c r="M4" s="4"/>
      <c r="N4" s="4"/>
      <c r="O4" s="4"/>
      <c r="P4" s="4"/>
    </row>
    <row r="5" spans="1:19" ht="6" customHeight="1">
      <c r="A5" s="6"/>
      <c r="B5" s="273"/>
      <c r="C5" s="273"/>
      <c r="D5" s="7"/>
      <c r="E5" s="7"/>
      <c r="F5" s="7"/>
      <c r="G5" s="7"/>
      <c r="H5" s="7"/>
      <c r="I5" s="7"/>
      <c r="J5" s="7"/>
      <c r="K5" s="7"/>
      <c r="L5" s="8"/>
      <c r="M5" s="4"/>
      <c r="N5" s="4"/>
      <c r="O5" s="4"/>
      <c r="P5" s="4"/>
    </row>
    <row r="6" spans="1:19" ht="33.950000000000003" customHeight="1">
      <c r="A6" s="9"/>
      <c r="B6" s="297" t="s">
        <v>3</v>
      </c>
      <c r="C6" s="276"/>
      <c r="D6" s="276"/>
      <c r="E6" s="276"/>
      <c r="F6" s="276"/>
      <c r="G6" s="276"/>
      <c r="H6" s="276"/>
      <c r="I6" s="276"/>
      <c r="J6" s="3"/>
      <c r="K6" s="3"/>
      <c r="L6" s="10"/>
      <c r="M6" s="4"/>
      <c r="N6" s="4"/>
      <c r="O6" s="4"/>
      <c r="P6" s="4"/>
    </row>
    <row r="7" spans="1:19">
      <c r="A7" s="11"/>
      <c r="B7" s="5"/>
      <c r="C7" s="5"/>
      <c r="D7" s="5"/>
      <c r="E7" s="5"/>
      <c r="F7" s="5"/>
      <c r="G7" s="5"/>
      <c r="H7" s="5"/>
      <c r="I7" s="5"/>
      <c r="J7" s="5"/>
      <c r="K7" s="5"/>
      <c r="L7" s="12"/>
      <c r="M7" s="4"/>
      <c r="N7" s="4"/>
      <c r="O7" s="4"/>
      <c r="P7" s="4"/>
    </row>
    <row r="8" spans="1:19" ht="14.1" customHeight="1">
      <c r="A8" s="5"/>
      <c r="B8" s="293" t="s">
        <v>4</v>
      </c>
      <c r="C8" s="290"/>
      <c r="D8" s="5"/>
      <c r="E8" s="5"/>
      <c r="F8" s="5"/>
      <c r="G8" s="5"/>
      <c r="H8" s="5"/>
      <c r="I8" s="5"/>
      <c r="J8" s="5"/>
      <c r="K8" s="5"/>
      <c r="L8" s="5"/>
      <c r="M8" s="4"/>
      <c r="N8" s="4"/>
      <c r="O8" s="4"/>
      <c r="P8" s="4"/>
    </row>
    <row r="9" spans="1:19" ht="8.1" customHeight="1">
      <c r="A9" s="6"/>
      <c r="B9" s="273"/>
      <c r="C9" s="273"/>
      <c r="D9" s="7"/>
      <c r="E9" s="7"/>
      <c r="F9" s="7"/>
      <c r="G9" s="7"/>
      <c r="H9" s="7"/>
      <c r="I9" s="7"/>
      <c r="J9" s="7"/>
      <c r="K9" s="7"/>
      <c r="L9" s="8"/>
      <c r="M9" s="4"/>
      <c r="N9" s="4"/>
      <c r="O9" s="4"/>
      <c r="P9" s="4"/>
    </row>
    <row r="10" spans="1:19">
      <c r="A10" s="275" t="s">
        <v>5</v>
      </c>
      <c r="B10" s="276"/>
      <c r="C10" s="294"/>
      <c r="D10" s="276"/>
      <c r="E10" s="3"/>
      <c r="F10" s="14"/>
      <c r="G10" s="3"/>
      <c r="H10" s="15" t="s">
        <v>88</v>
      </c>
      <c r="I10" s="16">
        <f>G37+G51+G62+G97+G102+G113</f>
        <v>0</v>
      </c>
      <c r="J10" s="3"/>
      <c r="K10" s="3"/>
      <c r="L10" s="10"/>
      <c r="M10" s="4"/>
      <c r="N10" s="4"/>
      <c r="O10" s="4"/>
      <c r="P10" s="4"/>
    </row>
    <row r="11" spans="1:19" ht="15.95" customHeight="1">
      <c r="A11" s="277" t="s">
        <v>178</v>
      </c>
      <c r="B11" s="276"/>
      <c r="C11" s="276"/>
      <c r="D11" s="276"/>
      <c r="E11" s="276"/>
      <c r="F11" s="295"/>
      <c r="G11" s="276"/>
      <c r="H11" s="15" t="s">
        <v>89</v>
      </c>
      <c r="I11" s="16">
        <f>ROUND(I10*(1+Q11),2)</f>
        <v>0</v>
      </c>
      <c r="J11" s="3"/>
      <c r="K11" s="3"/>
      <c r="L11" s="10"/>
      <c r="M11" s="4"/>
      <c r="N11" s="4"/>
      <c r="O11" s="4"/>
      <c r="P11" s="4"/>
      <c r="Q11" s="1">
        <f>IF(SUM(J20:J25)&gt;0,ROUND(SUM(S20:S25)/SUM(J20:J25)-1,8),0)</f>
        <v>0</v>
      </c>
      <c r="R11" s="1">
        <f>AVERAGE(I37,I51,I62,I97,I102,I113)</f>
        <v>0.21</v>
      </c>
      <c r="S11" s="1">
        <f>I10*(1+Q11)</f>
        <v>0</v>
      </c>
    </row>
    <row r="12" spans="1:19">
      <c r="A12" s="275" t="s">
        <v>7</v>
      </c>
      <c r="B12" s="276"/>
      <c r="C12" s="294"/>
      <c r="D12" s="276"/>
      <c r="E12" s="276"/>
      <c r="F12" s="296"/>
      <c r="G12" s="276"/>
      <c r="H12" s="3"/>
      <c r="I12" s="3"/>
      <c r="J12" s="3"/>
      <c r="K12" s="3"/>
      <c r="L12" s="10"/>
      <c r="M12" s="4"/>
      <c r="N12" s="4"/>
      <c r="O12" s="4"/>
      <c r="P12" s="4"/>
    </row>
    <row r="13" spans="1:19" ht="15.95" customHeight="1">
      <c r="A13" s="277">
        <f>Souhrn!A13</f>
        <v>0</v>
      </c>
      <c r="B13" s="276"/>
      <c r="C13" s="276"/>
      <c r="D13" s="276"/>
      <c r="E13" s="276"/>
      <c r="F13" s="295"/>
      <c r="G13" s="276"/>
      <c r="H13" s="15" t="s">
        <v>8</v>
      </c>
      <c r="I13" s="13">
        <f>Souhrn!E13</f>
        <v>0</v>
      </c>
      <c r="J13" s="3"/>
      <c r="K13" s="3"/>
      <c r="L13" s="10"/>
      <c r="M13" s="4"/>
      <c r="N13" s="4"/>
      <c r="O13" s="4"/>
      <c r="P13" s="4"/>
    </row>
    <row r="14" spans="1:19">
      <c r="A14" s="9"/>
      <c r="B14" s="3"/>
      <c r="C14" s="3"/>
      <c r="D14" s="3"/>
      <c r="E14" s="3"/>
      <c r="F14" s="3"/>
      <c r="G14" s="3"/>
      <c r="H14" s="15" t="s">
        <v>9</v>
      </c>
      <c r="I14" s="13">
        <f>Souhrn!E14</f>
        <v>0</v>
      </c>
      <c r="J14" s="3"/>
      <c r="K14" s="3"/>
      <c r="L14" s="10"/>
      <c r="M14" s="4"/>
      <c r="N14" s="4"/>
      <c r="O14" s="4"/>
      <c r="P14" s="4"/>
    </row>
    <row r="15" spans="1:19" hidden="1">
      <c r="A15" s="9"/>
      <c r="B15" s="3"/>
      <c r="C15" s="3"/>
      <c r="D15" s="3"/>
      <c r="E15" s="3"/>
      <c r="F15" s="3"/>
      <c r="G15" s="3"/>
      <c r="H15" s="3"/>
      <c r="I15" s="3"/>
      <c r="J15" s="3"/>
      <c r="K15" s="3"/>
      <c r="L15" s="10"/>
      <c r="M15" s="4"/>
      <c r="N15" s="4"/>
      <c r="O15" s="4"/>
      <c r="P15" s="4"/>
    </row>
    <row r="16" spans="1:19" ht="9.9499999999999993" customHeight="1">
      <c r="A16" s="11"/>
      <c r="B16" s="5"/>
      <c r="C16" s="5"/>
      <c r="D16" s="5"/>
      <c r="E16" s="5"/>
      <c r="F16" s="5"/>
      <c r="G16" s="5"/>
      <c r="H16" s="5"/>
      <c r="I16" s="5"/>
      <c r="J16" s="5"/>
      <c r="K16" s="5"/>
      <c r="L16" s="12"/>
      <c r="M16" s="4"/>
      <c r="N16" s="4"/>
      <c r="O16" s="4"/>
      <c r="P16" s="4"/>
    </row>
    <row r="17" spans="1:19" ht="14.1" customHeight="1">
      <c r="A17" s="5"/>
      <c r="B17" s="289" t="s">
        <v>10</v>
      </c>
      <c r="C17" s="290"/>
      <c r="D17" s="5"/>
      <c r="E17" s="5"/>
      <c r="F17" s="5"/>
      <c r="G17" s="5"/>
      <c r="H17" s="5"/>
      <c r="I17" s="5"/>
      <c r="J17" s="5"/>
      <c r="K17" s="5"/>
      <c r="L17" s="5"/>
      <c r="M17" s="4"/>
      <c r="N17" s="4"/>
      <c r="O17" s="4"/>
      <c r="P17" s="4"/>
    </row>
    <row r="18" spans="1:19" ht="6" customHeight="1">
      <c r="A18" s="6"/>
      <c r="B18" s="273"/>
      <c r="C18" s="273"/>
      <c r="D18" s="7"/>
      <c r="E18" s="7"/>
      <c r="F18" s="7"/>
      <c r="G18" s="7"/>
      <c r="H18" s="7"/>
      <c r="I18" s="7"/>
      <c r="J18" s="7"/>
      <c r="K18" s="7"/>
      <c r="L18" s="8"/>
      <c r="M18" s="4"/>
      <c r="N18" s="4"/>
      <c r="O18" s="4"/>
      <c r="P18" s="4"/>
    </row>
    <row r="19" spans="1:19" ht="18" customHeight="1">
      <c r="A19" s="9"/>
      <c r="B19" s="291" t="s">
        <v>11</v>
      </c>
      <c r="C19" s="291"/>
      <c r="D19" s="291"/>
      <c r="E19" s="291" t="s">
        <v>12</v>
      </c>
      <c r="F19" s="292"/>
      <c r="G19" s="19"/>
      <c r="H19" s="19"/>
      <c r="I19" s="19"/>
      <c r="J19" s="19" t="s">
        <v>13</v>
      </c>
      <c r="K19" s="19" t="s">
        <v>14</v>
      </c>
      <c r="L19" s="10"/>
      <c r="M19" s="4"/>
      <c r="N19" s="4"/>
      <c r="O19" s="4"/>
      <c r="P19" s="4"/>
    </row>
    <row r="20" spans="1:19">
      <c r="A20" s="9"/>
      <c r="B20" s="287">
        <v>0</v>
      </c>
      <c r="C20" s="276"/>
      <c r="D20" s="276"/>
      <c r="E20" s="20" t="s">
        <v>43</v>
      </c>
      <c r="F20" s="3"/>
      <c r="G20" s="3"/>
      <c r="H20" s="3"/>
      <c r="I20" s="3"/>
      <c r="J20" s="21">
        <f>G37</f>
        <v>0</v>
      </c>
      <c r="K20" s="21">
        <f>K37</f>
        <v>0</v>
      </c>
      <c r="L20" s="10"/>
      <c r="M20" s="4"/>
      <c r="N20" s="4"/>
      <c r="O20" s="4"/>
      <c r="P20" s="4"/>
      <c r="S20" s="1">
        <f>S37</f>
        <v>0</v>
      </c>
    </row>
    <row r="21" spans="1:19">
      <c r="A21" s="9"/>
      <c r="B21" s="287">
        <v>1</v>
      </c>
      <c r="C21" s="276"/>
      <c r="D21" s="276"/>
      <c r="E21" s="20" t="s">
        <v>72</v>
      </c>
      <c r="F21" s="3"/>
      <c r="G21" s="3"/>
      <c r="H21" s="3"/>
      <c r="I21" s="3"/>
      <c r="J21" s="21">
        <f>G51</f>
        <v>0</v>
      </c>
      <c r="K21" s="21">
        <f>K51</f>
        <v>0</v>
      </c>
      <c r="L21" s="10"/>
      <c r="M21" s="4"/>
      <c r="N21" s="4"/>
      <c r="O21" s="4"/>
      <c r="P21" s="4"/>
      <c r="S21" s="1">
        <f>S51</f>
        <v>0</v>
      </c>
    </row>
    <row r="22" spans="1:19">
      <c r="A22" s="9"/>
      <c r="B22" s="287">
        <v>2</v>
      </c>
      <c r="C22" s="276"/>
      <c r="D22" s="276"/>
      <c r="E22" s="20" t="s">
        <v>118</v>
      </c>
      <c r="F22" s="3"/>
      <c r="G22" s="3"/>
      <c r="H22" s="3"/>
      <c r="I22" s="3"/>
      <c r="J22" s="21">
        <f>G62</f>
        <v>0</v>
      </c>
      <c r="K22" s="21">
        <f>K62</f>
        <v>0</v>
      </c>
      <c r="L22" s="10"/>
      <c r="M22" s="4"/>
      <c r="N22" s="4"/>
      <c r="O22" s="4"/>
      <c r="P22" s="4"/>
      <c r="S22" s="1">
        <f>S62</f>
        <v>0</v>
      </c>
    </row>
    <row r="23" spans="1:19">
      <c r="A23" s="9"/>
      <c r="B23" s="287">
        <v>5</v>
      </c>
      <c r="C23" s="276"/>
      <c r="D23" s="276"/>
      <c r="E23" s="20" t="s">
        <v>152</v>
      </c>
      <c r="F23" s="3"/>
      <c r="G23" s="3"/>
      <c r="H23" s="3"/>
      <c r="I23" s="3"/>
      <c r="J23" s="21">
        <f>G97</f>
        <v>0</v>
      </c>
      <c r="K23" s="21">
        <f>K97</f>
        <v>0</v>
      </c>
      <c r="L23" s="10"/>
      <c r="M23" s="4"/>
      <c r="N23" s="4"/>
      <c r="O23" s="4"/>
      <c r="P23" s="4"/>
      <c r="S23" s="1">
        <f>S97</f>
        <v>0</v>
      </c>
    </row>
    <row r="24" spans="1:19">
      <c r="A24" s="9"/>
      <c r="B24" s="287">
        <v>8</v>
      </c>
      <c r="C24" s="276"/>
      <c r="D24" s="276"/>
      <c r="E24" s="20" t="s">
        <v>163</v>
      </c>
      <c r="F24" s="3"/>
      <c r="G24" s="3"/>
      <c r="H24" s="3"/>
      <c r="I24" s="3"/>
      <c r="J24" s="21">
        <f>G102</f>
        <v>0</v>
      </c>
      <c r="K24" s="21">
        <f>K102</f>
        <v>0</v>
      </c>
      <c r="L24" s="10"/>
      <c r="M24" s="4"/>
      <c r="N24" s="4"/>
      <c r="O24" s="4"/>
      <c r="P24" s="4"/>
      <c r="S24" s="1">
        <f>S102</f>
        <v>0</v>
      </c>
    </row>
    <row r="25" spans="1:19">
      <c r="A25" s="9"/>
      <c r="B25" s="287">
        <v>9</v>
      </c>
      <c r="C25" s="276"/>
      <c r="D25" s="276"/>
      <c r="E25" s="20" t="s">
        <v>87</v>
      </c>
      <c r="F25" s="3"/>
      <c r="G25" s="3"/>
      <c r="H25" s="3"/>
      <c r="I25" s="3"/>
      <c r="J25" s="21">
        <f>G113</f>
        <v>0</v>
      </c>
      <c r="K25" s="21">
        <f>K113</f>
        <v>0</v>
      </c>
      <c r="L25" s="10"/>
      <c r="M25" s="4"/>
      <c r="N25" s="4"/>
      <c r="O25" s="4"/>
      <c r="P25" s="4"/>
      <c r="S25" s="1">
        <f>S113</f>
        <v>0</v>
      </c>
    </row>
    <row r="26" spans="1:19">
      <c r="A26" s="11"/>
      <c r="B26" s="5"/>
      <c r="C26" s="5"/>
      <c r="D26" s="5"/>
      <c r="E26" s="5"/>
      <c r="F26" s="5"/>
      <c r="G26" s="5"/>
      <c r="H26" s="5"/>
      <c r="I26" s="5"/>
      <c r="J26" s="5"/>
      <c r="K26" s="5"/>
      <c r="L26" s="12"/>
      <c r="M26" s="4"/>
      <c r="N26" s="4"/>
      <c r="O26" s="4"/>
      <c r="P26" s="4"/>
    </row>
    <row r="27" spans="1:19" ht="14.1" customHeight="1">
      <c r="A27" s="5"/>
      <c r="B27" s="289" t="s">
        <v>15</v>
      </c>
      <c r="C27" s="290"/>
      <c r="D27" s="5"/>
      <c r="E27" s="5"/>
      <c r="F27" s="5"/>
      <c r="G27" s="5"/>
      <c r="H27" s="5"/>
      <c r="I27" s="5"/>
      <c r="J27" s="5"/>
      <c r="K27" s="5"/>
      <c r="L27" s="5"/>
      <c r="M27" s="4"/>
      <c r="N27" s="4"/>
      <c r="O27" s="4"/>
      <c r="P27" s="4"/>
    </row>
    <row r="28" spans="1:19" ht="18" customHeight="1">
      <c r="A28" s="6"/>
      <c r="B28" s="273"/>
      <c r="C28" s="273"/>
      <c r="D28" s="7"/>
      <c r="E28" s="7"/>
      <c r="F28" s="7"/>
      <c r="G28" s="7"/>
      <c r="H28" s="7"/>
      <c r="I28" s="7"/>
      <c r="J28" s="7"/>
      <c r="K28" s="7"/>
      <c r="L28" s="8"/>
      <c r="M28" s="4"/>
      <c r="N28" s="4"/>
      <c r="O28" s="4"/>
      <c r="P28" s="4"/>
    </row>
    <row r="29" spans="1:19" ht="18" customHeight="1">
      <c r="A29" s="9"/>
      <c r="B29" s="17" t="s">
        <v>16</v>
      </c>
      <c r="C29" s="17" t="s">
        <v>11</v>
      </c>
      <c r="D29" s="17" t="s">
        <v>17</v>
      </c>
      <c r="E29" s="17" t="s">
        <v>12</v>
      </c>
      <c r="F29" s="18" t="s">
        <v>18</v>
      </c>
      <c r="G29" s="19" t="s">
        <v>19</v>
      </c>
      <c r="H29" s="19" t="s">
        <v>20</v>
      </c>
      <c r="I29" s="19" t="s">
        <v>13</v>
      </c>
      <c r="J29" s="18" t="s">
        <v>21</v>
      </c>
      <c r="K29" s="19" t="s">
        <v>14</v>
      </c>
      <c r="L29" s="10"/>
      <c r="M29" s="4"/>
      <c r="N29" s="4"/>
      <c r="O29" s="4"/>
      <c r="P29" s="4"/>
    </row>
    <row r="30" spans="1:19" ht="39.950000000000003" customHeight="1">
      <c r="A30" s="9"/>
      <c r="B30" s="288" t="s">
        <v>42</v>
      </c>
      <c r="C30" s="276"/>
      <c r="D30" s="276"/>
      <c r="E30" s="276"/>
      <c r="F30" s="276"/>
      <c r="G30" s="276"/>
      <c r="H30" s="286"/>
      <c r="I30" s="276"/>
      <c r="J30" s="286"/>
      <c r="K30" s="276"/>
      <c r="L30" s="10"/>
      <c r="M30" s="4"/>
      <c r="N30" s="4"/>
      <c r="O30" s="4"/>
      <c r="P30" s="4"/>
    </row>
    <row r="31" spans="1:19">
      <c r="A31" s="9"/>
      <c r="B31" s="22">
        <v>1</v>
      </c>
      <c r="C31" s="23" t="s">
        <v>22</v>
      </c>
      <c r="D31" s="23"/>
      <c r="E31" s="23" t="s">
        <v>23</v>
      </c>
      <c r="F31" s="24" t="s">
        <v>24</v>
      </c>
      <c r="G31" s="25">
        <f>ROUND(211.5,3)</f>
        <v>211.5</v>
      </c>
      <c r="H31" s="40">
        <f>ROUND(0,2)</f>
        <v>0</v>
      </c>
      <c r="I31" s="26">
        <f>ROUND(H31*G31,2)</f>
        <v>0</v>
      </c>
      <c r="J31" s="45" t="s">
        <v>25</v>
      </c>
      <c r="K31" s="26">
        <f>IF(ISNUMBER(J31),ROUND(I31*(J31+1),2),0)</f>
        <v>0</v>
      </c>
      <c r="L31" s="10"/>
      <c r="M31" s="4"/>
      <c r="N31" s="4"/>
      <c r="O31" s="4"/>
      <c r="P31" s="4"/>
      <c r="Q31" s="1">
        <f>IF(ISNUMBER(J31),IF(G31&gt;0,IF(H31&gt;0,I31,0),0),0)</f>
        <v>0</v>
      </c>
      <c r="R31" s="1">
        <f>IF(ISNUMBER(J31)=FALSE,I31,0)</f>
        <v>0</v>
      </c>
    </row>
    <row r="32" spans="1:19">
      <c r="A32" s="9"/>
      <c r="B32" s="283" t="s">
        <v>27</v>
      </c>
      <c r="C32" s="276"/>
      <c r="D32" s="276"/>
      <c r="E32" s="27" t="s">
        <v>97</v>
      </c>
      <c r="F32" s="3"/>
      <c r="G32" s="3"/>
      <c r="H32" s="39"/>
      <c r="I32" s="3"/>
      <c r="J32" s="39"/>
      <c r="K32" s="3"/>
      <c r="L32" s="10"/>
      <c r="M32" s="4"/>
      <c r="N32" s="4"/>
      <c r="O32" s="4"/>
      <c r="P32" s="4"/>
    </row>
    <row r="33" spans="1:19" ht="13.5" thickBot="1">
      <c r="A33" s="9"/>
      <c r="B33" s="281" t="s">
        <v>28</v>
      </c>
      <c r="C33" s="282"/>
      <c r="D33" s="282"/>
      <c r="E33" s="29" t="s">
        <v>25</v>
      </c>
      <c r="F33" s="28"/>
      <c r="G33" s="28"/>
      <c r="H33" s="41"/>
      <c r="I33" s="28"/>
      <c r="J33" s="41"/>
      <c r="K33" s="28"/>
      <c r="L33" s="10"/>
      <c r="M33" s="4"/>
      <c r="N33" s="4"/>
      <c r="O33" s="4"/>
      <c r="P33" s="4"/>
    </row>
    <row r="34" spans="1:19" ht="13.5" thickTop="1">
      <c r="A34" s="9"/>
      <c r="B34" s="22">
        <v>2</v>
      </c>
      <c r="C34" s="23" t="s">
        <v>98</v>
      </c>
      <c r="D34" s="23" t="s">
        <v>25</v>
      </c>
      <c r="E34" s="23" t="s">
        <v>99</v>
      </c>
      <c r="F34" s="24" t="s">
        <v>40</v>
      </c>
      <c r="G34" s="30">
        <f>ROUND(2,3)</f>
        <v>2</v>
      </c>
      <c r="H34" s="42">
        <f>ROUND(0,2)</f>
        <v>0</v>
      </c>
      <c r="I34" s="31">
        <f>ROUND(H34*G34,2)</f>
        <v>0</v>
      </c>
      <c r="J34" s="46" t="s">
        <v>25</v>
      </c>
      <c r="K34" s="31">
        <f>IF(ISNUMBER(J34),ROUND(I34*(J34+1),2),0)</f>
        <v>0</v>
      </c>
      <c r="L34" s="10"/>
      <c r="M34" s="4"/>
      <c r="N34" s="4"/>
      <c r="O34" s="4"/>
      <c r="P34" s="4"/>
      <c r="Q34" s="1">
        <f>IF(ISNUMBER(J34),IF(G34&gt;0,IF(H34&gt;0,I34,0),0),0)</f>
        <v>0</v>
      </c>
      <c r="R34" s="1">
        <f>IF(ISNUMBER(J34)=FALSE,I34,0)</f>
        <v>0</v>
      </c>
    </row>
    <row r="35" spans="1:19">
      <c r="A35" s="9"/>
      <c r="B35" s="283" t="s">
        <v>27</v>
      </c>
      <c r="C35" s="276"/>
      <c r="D35" s="276"/>
      <c r="E35" s="27" t="s">
        <v>100</v>
      </c>
      <c r="F35" s="3"/>
      <c r="G35" s="3"/>
      <c r="H35" s="39"/>
      <c r="I35" s="3"/>
      <c r="J35" s="39"/>
      <c r="K35" s="3"/>
      <c r="L35" s="10"/>
      <c r="M35" s="4"/>
      <c r="N35" s="4"/>
      <c r="O35" s="4"/>
      <c r="P35" s="4"/>
    </row>
    <row r="36" spans="1:19" ht="13.5" thickBot="1">
      <c r="A36" s="9"/>
      <c r="B36" s="281" t="s">
        <v>28</v>
      </c>
      <c r="C36" s="282"/>
      <c r="D36" s="282"/>
      <c r="E36" s="29" t="s">
        <v>25</v>
      </c>
      <c r="F36" s="28"/>
      <c r="G36" s="28"/>
      <c r="H36" s="41"/>
      <c r="I36" s="28"/>
      <c r="J36" s="41"/>
      <c r="K36" s="28"/>
      <c r="L36" s="10"/>
      <c r="M36" s="4"/>
      <c r="N36" s="4"/>
      <c r="O36" s="4"/>
      <c r="P36" s="4"/>
    </row>
    <row r="37" spans="1:19" ht="24.95" customHeight="1" thickTop="1" thickBot="1">
      <c r="A37" s="9"/>
      <c r="B37" s="32"/>
      <c r="C37" s="33">
        <v>0</v>
      </c>
      <c r="D37" s="32"/>
      <c r="E37" s="34" t="s">
        <v>43</v>
      </c>
      <c r="F37" s="35" t="s">
        <v>44</v>
      </c>
      <c r="G37" s="36">
        <f>I31+I34</f>
        <v>0</v>
      </c>
      <c r="H37" s="43" t="s">
        <v>45</v>
      </c>
      <c r="I37" s="37">
        <f>IF(COUNT(J31:J37)&gt;0,AVERAGE(J31:J37),0.21)</f>
        <v>0.21</v>
      </c>
      <c r="J37" s="43" t="s">
        <v>46</v>
      </c>
      <c r="K37" s="36">
        <f>ROUND(Q37*(1+I37),2)+R37</f>
        <v>0</v>
      </c>
      <c r="L37" s="10"/>
      <c r="M37" s="4"/>
      <c r="N37" s="4"/>
      <c r="O37" s="4"/>
      <c r="P37" s="4"/>
      <c r="Q37" s="1">
        <f>0+Q31+Q34</f>
        <v>0</v>
      </c>
      <c r="R37" s="1">
        <f>0+R31+R34</f>
        <v>0</v>
      </c>
      <c r="S37" s="2">
        <f>Q37*(1+I37)+R37</f>
        <v>0</v>
      </c>
    </row>
    <row r="38" spans="1:19" ht="39.950000000000003" customHeight="1">
      <c r="A38" s="9"/>
      <c r="B38" s="284" t="s">
        <v>71</v>
      </c>
      <c r="C38" s="276"/>
      <c r="D38" s="276"/>
      <c r="E38" s="285"/>
      <c r="F38" s="276"/>
      <c r="G38" s="276"/>
      <c r="H38" s="286"/>
      <c r="I38" s="276"/>
      <c r="J38" s="286"/>
      <c r="K38" s="276"/>
      <c r="L38" s="10"/>
      <c r="M38" s="4"/>
      <c r="N38" s="4"/>
      <c r="O38" s="4"/>
      <c r="P38" s="4"/>
    </row>
    <row r="39" spans="1:19">
      <c r="A39" s="9"/>
      <c r="B39" s="22">
        <v>3</v>
      </c>
      <c r="C39" s="23" t="s">
        <v>101</v>
      </c>
      <c r="D39" s="23" t="s">
        <v>25</v>
      </c>
      <c r="E39" s="23" t="s">
        <v>102</v>
      </c>
      <c r="F39" s="24" t="s">
        <v>57</v>
      </c>
      <c r="G39" s="25">
        <f>ROUND(117.5,3)</f>
        <v>117.5</v>
      </c>
      <c r="H39" s="40">
        <f>ROUND(0,2)</f>
        <v>0</v>
      </c>
      <c r="I39" s="26">
        <f>ROUND(H39*G39,2)</f>
        <v>0</v>
      </c>
      <c r="J39" s="45" t="s">
        <v>25</v>
      </c>
      <c r="K39" s="26">
        <f>IF(ISNUMBER(J39),ROUND(I39*(J39+1),2),0)</f>
        <v>0</v>
      </c>
      <c r="L39" s="10"/>
      <c r="M39" s="4"/>
      <c r="N39" s="4"/>
      <c r="O39" s="4"/>
      <c r="P39" s="4"/>
      <c r="Q39" s="1">
        <f>IF(ISNUMBER(J39),IF(G39&gt;0,IF(H39&gt;0,I39,0),0),0)</f>
        <v>0</v>
      </c>
      <c r="R39" s="1">
        <f>IF(ISNUMBER(J39)=FALSE,I39,0)</f>
        <v>0</v>
      </c>
    </row>
    <row r="40" spans="1:19">
      <c r="A40" s="9"/>
      <c r="B40" s="283" t="s">
        <v>27</v>
      </c>
      <c r="C40" s="276"/>
      <c r="D40" s="276"/>
      <c r="E40" s="27" t="s">
        <v>103</v>
      </c>
      <c r="F40" s="3"/>
      <c r="G40" s="3"/>
      <c r="H40" s="39"/>
      <c r="I40" s="3"/>
      <c r="J40" s="39"/>
      <c r="K40" s="3"/>
      <c r="L40" s="10"/>
      <c r="M40" s="4"/>
      <c r="N40" s="4"/>
      <c r="O40" s="4"/>
      <c r="P40" s="4"/>
    </row>
    <row r="41" spans="1:19" ht="13.5" thickBot="1">
      <c r="A41" s="9"/>
      <c r="B41" s="281" t="s">
        <v>28</v>
      </c>
      <c r="C41" s="282"/>
      <c r="D41" s="282"/>
      <c r="E41" s="29" t="s">
        <v>25</v>
      </c>
      <c r="F41" s="28"/>
      <c r="G41" s="28"/>
      <c r="H41" s="41"/>
      <c r="I41" s="28"/>
      <c r="J41" s="41"/>
      <c r="K41" s="28"/>
      <c r="L41" s="10"/>
      <c r="M41" s="4"/>
      <c r="N41" s="4"/>
      <c r="O41" s="4"/>
      <c r="P41" s="4"/>
    </row>
    <row r="42" spans="1:19" ht="13.5" thickTop="1">
      <c r="A42" s="9"/>
      <c r="B42" s="22">
        <v>4</v>
      </c>
      <c r="C42" s="23" t="s">
        <v>104</v>
      </c>
      <c r="D42" s="23" t="s">
        <v>25</v>
      </c>
      <c r="E42" s="23" t="s">
        <v>105</v>
      </c>
      <c r="F42" s="24" t="s">
        <v>57</v>
      </c>
      <c r="G42" s="30">
        <f>ROUND(112,3)</f>
        <v>112</v>
      </c>
      <c r="H42" s="42">
        <f>ROUND(0,2)</f>
        <v>0</v>
      </c>
      <c r="I42" s="31">
        <f>ROUND(H42*G42,2)</f>
        <v>0</v>
      </c>
      <c r="J42" s="46" t="s">
        <v>25</v>
      </c>
      <c r="K42" s="31">
        <f>IF(ISNUMBER(J42),ROUND(I42*(J42+1),2),0)</f>
        <v>0</v>
      </c>
      <c r="L42" s="10"/>
      <c r="M42" s="4"/>
      <c r="N42" s="4"/>
      <c r="O42" s="4"/>
      <c r="P42" s="4"/>
      <c r="Q42" s="1">
        <f>IF(ISNUMBER(J42),IF(G42&gt;0,IF(H42&gt;0,I42,0),0),0)</f>
        <v>0</v>
      </c>
      <c r="R42" s="1">
        <f>IF(ISNUMBER(J42)=FALSE,I42,0)</f>
        <v>0</v>
      </c>
    </row>
    <row r="43" spans="1:19">
      <c r="A43" s="9"/>
      <c r="B43" s="283" t="s">
        <v>27</v>
      </c>
      <c r="C43" s="276"/>
      <c r="D43" s="276"/>
      <c r="E43" s="27" t="s">
        <v>106</v>
      </c>
      <c r="F43" s="3"/>
      <c r="G43" s="3"/>
      <c r="H43" s="39"/>
      <c r="I43" s="3"/>
      <c r="J43" s="39"/>
      <c r="K43" s="3"/>
      <c r="L43" s="10"/>
      <c r="M43" s="4"/>
      <c r="N43" s="4"/>
      <c r="O43" s="4"/>
      <c r="P43" s="4"/>
    </row>
    <row r="44" spans="1:19" ht="13.5" thickBot="1">
      <c r="A44" s="9"/>
      <c r="B44" s="281" t="s">
        <v>28</v>
      </c>
      <c r="C44" s="282"/>
      <c r="D44" s="282"/>
      <c r="E44" s="29" t="s">
        <v>25</v>
      </c>
      <c r="F44" s="28"/>
      <c r="G44" s="28"/>
      <c r="H44" s="41"/>
      <c r="I44" s="28"/>
      <c r="J44" s="41"/>
      <c r="K44" s="28"/>
      <c r="L44" s="10"/>
      <c r="M44" s="4"/>
      <c r="N44" s="4"/>
      <c r="O44" s="4"/>
      <c r="P44" s="4"/>
    </row>
    <row r="45" spans="1:19" ht="13.5" thickTop="1">
      <c r="A45" s="9"/>
      <c r="B45" s="22">
        <v>5</v>
      </c>
      <c r="C45" s="23" t="s">
        <v>179</v>
      </c>
      <c r="D45" s="23"/>
      <c r="E45" s="23" t="s">
        <v>180</v>
      </c>
      <c r="F45" s="24" t="s">
        <v>57</v>
      </c>
      <c r="G45" s="30">
        <f>ROUND(7,3)</f>
        <v>7</v>
      </c>
      <c r="H45" s="42">
        <f>ROUND(0,2)</f>
        <v>0</v>
      </c>
      <c r="I45" s="31">
        <f>ROUND(H45*G45,2)</f>
        <v>0</v>
      </c>
      <c r="J45" s="46" t="s">
        <v>25</v>
      </c>
      <c r="K45" s="31">
        <f>IF(ISNUMBER(J45),ROUND(I45*(J45+1),2),0)</f>
        <v>0</v>
      </c>
      <c r="L45" s="10"/>
      <c r="M45" s="4"/>
      <c r="N45" s="4"/>
      <c r="O45" s="4"/>
      <c r="P45" s="4"/>
      <c r="Q45" s="1">
        <f>IF(ISNUMBER(J45),IF(G45&gt;0,IF(H45&gt;0,I45,0),0),0)</f>
        <v>0</v>
      </c>
      <c r="R45" s="1">
        <f>IF(ISNUMBER(J45)=FALSE,I45,0)</f>
        <v>0</v>
      </c>
    </row>
    <row r="46" spans="1:19">
      <c r="A46" s="9"/>
      <c r="B46" s="283" t="s">
        <v>27</v>
      </c>
      <c r="C46" s="276"/>
      <c r="D46" s="276"/>
      <c r="E46" s="27" t="s">
        <v>25</v>
      </c>
      <c r="F46" s="3"/>
      <c r="G46" s="3"/>
      <c r="H46" s="39"/>
      <c r="I46" s="3"/>
      <c r="J46" s="39"/>
      <c r="K46" s="3"/>
      <c r="L46" s="10"/>
      <c r="M46" s="4"/>
      <c r="N46" s="4"/>
      <c r="O46" s="4"/>
      <c r="P46" s="4"/>
    </row>
    <row r="47" spans="1:19" ht="13.5" thickBot="1">
      <c r="A47" s="9"/>
      <c r="B47" s="281" t="s">
        <v>28</v>
      </c>
      <c r="C47" s="282"/>
      <c r="D47" s="282"/>
      <c r="E47" s="29" t="s">
        <v>25</v>
      </c>
      <c r="F47" s="28"/>
      <c r="G47" s="28"/>
      <c r="H47" s="41"/>
      <c r="I47" s="28"/>
      <c r="J47" s="41"/>
      <c r="K47" s="28"/>
      <c r="L47" s="10"/>
      <c r="M47" s="4"/>
      <c r="N47" s="4"/>
      <c r="O47" s="4"/>
      <c r="P47" s="4"/>
    </row>
    <row r="48" spans="1:19" ht="13.5" thickTop="1">
      <c r="A48" s="9"/>
      <c r="B48" s="22">
        <v>6</v>
      </c>
      <c r="C48" s="23" t="s">
        <v>107</v>
      </c>
      <c r="D48" s="23"/>
      <c r="E48" s="23" t="s">
        <v>108</v>
      </c>
      <c r="F48" s="24" t="s">
        <v>49</v>
      </c>
      <c r="G48" s="30">
        <f>ROUND(391,3)</f>
        <v>391</v>
      </c>
      <c r="H48" s="42">
        <f>ROUND(0,2)</f>
        <v>0</v>
      </c>
      <c r="I48" s="31">
        <f>ROUND(H48*G48,2)</f>
        <v>0</v>
      </c>
      <c r="J48" s="46" t="s">
        <v>25</v>
      </c>
      <c r="K48" s="31">
        <f>IF(ISNUMBER(J48),ROUND(I48*(J48+1),2),0)</f>
        <v>0</v>
      </c>
      <c r="L48" s="10"/>
      <c r="M48" s="4"/>
      <c r="N48" s="4"/>
      <c r="O48" s="4"/>
      <c r="P48" s="4"/>
      <c r="Q48" s="1">
        <f>IF(ISNUMBER(J48),IF(G48&gt;0,IF(H48&gt;0,I48,0),0),0)</f>
        <v>0</v>
      </c>
      <c r="R48" s="1">
        <f>IF(ISNUMBER(J48)=FALSE,I48,0)</f>
        <v>0</v>
      </c>
    </row>
    <row r="49" spans="1:19">
      <c r="A49" s="9"/>
      <c r="B49" s="283" t="s">
        <v>27</v>
      </c>
      <c r="C49" s="276"/>
      <c r="D49" s="276"/>
      <c r="E49" s="27" t="s">
        <v>25</v>
      </c>
      <c r="F49" s="3"/>
      <c r="G49" s="3"/>
      <c r="H49" s="39"/>
      <c r="I49" s="3"/>
      <c r="J49" s="39"/>
      <c r="K49" s="3"/>
      <c r="L49" s="10"/>
      <c r="M49" s="4"/>
      <c r="N49" s="4"/>
      <c r="O49" s="4"/>
      <c r="P49" s="4"/>
    </row>
    <row r="50" spans="1:19" ht="13.5" thickBot="1">
      <c r="A50" s="9"/>
      <c r="B50" s="281" t="s">
        <v>28</v>
      </c>
      <c r="C50" s="282"/>
      <c r="D50" s="282"/>
      <c r="E50" s="29" t="s">
        <v>25</v>
      </c>
      <c r="F50" s="28"/>
      <c r="G50" s="28"/>
      <c r="H50" s="41"/>
      <c r="I50" s="28"/>
      <c r="J50" s="41"/>
      <c r="K50" s="28"/>
      <c r="L50" s="10"/>
      <c r="M50" s="4"/>
      <c r="N50" s="4"/>
      <c r="O50" s="4"/>
      <c r="P50" s="4"/>
    </row>
    <row r="51" spans="1:19" ht="24.95" customHeight="1" thickTop="1" thickBot="1">
      <c r="A51" s="9"/>
      <c r="B51" s="32"/>
      <c r="C51" s="33">
        <v>1</v>
      </c>
      <c r="D51" s="32"/>
      <c r="E51" s="34" t="s">
        <v>72</v>
      </c>
      <c r="F51" s="35" t="s">
        <v>44</v>
      </c>
      <c r="G51" s="36">
        <f>I39+I42+I45+I48</f>
        <v>0</v>
      </c>
      <c r="H51" s="43" t="s">
        <v>45</v>
      </c>
      <c r="I51" s="37">
        <f>IF(COUNT(J39:J51)&gt;0,AVERAGE(J39:J51),0.21)</f>
        <v>0.21</v>
      </c>
      <c r="J51" s="43" t="s">
        <v>46</v>
      </c>
      <c r="K51" s="36">
        <f>ROUND(Q51*(1+I51),2)+R51</f>
        <v>0</v>
      </c>
      <c r="L51" s="10"/>
      <c r="M51" s="4"/>
      <c r="N51" s="4"/>
      <c r="O51" s="4"/>
      <c r="P51" s="4"/>
      <c r="Q51" s="1">
        <f>0+Q39+Q42+Q45+Q48</f>
        <v>0</v>
      </c>
      <c r="R51" s="1">
        <f>0+R39+R42+R45+R48</f>
        <v>0</v>
      </c>
      <c r="S51" s="2">
        <f>Q51*(1+I51)+R51</f>
        <v>0</v>
      </c>
    </row>
    <row r="52" spans="1:19" ht="39.950000000000003" customHeight="1">
      <c r="A52" s="9"/>
      <c r="B52" s="284" t="s">
        <v>117</v>
      </c>
      <c r="C52" s="276"/>
      <c r="D52" s="276"/>
      <c r="E52" s="285"/>
      <c r="F52" s="276"/>
      <c r="G52" s="276"/>
      <c r="H52" s="286"/>
      <c r="I52" s="276"/>
      <c r="J52" s="286"/>
      <c r="K52" s="276"/>
      <c r="L52" s="10"/>
      <c r="M52" s="4"/>
      <c r="N52" s="4"/>
      <c r="O52" s="4"/>
      <c r="P52" s="4"/>
    </row>
    <row r="53" spans="1:19">
      <c r="A53" s="9"/>
      <c r="B53" s="22">
        <v>7</v>
      </c>
      <c r="C53" s="23" t="s">
        <v>109</v>
      </c>
      <c r="D53" s="23" t="s">
        <v>25</v>
      </c>
      <c r="E53" s="23" t="s">
        <v>110</v>
      </c>
      <c r="F53" s="24" t="s">
        <v>64</v>
      </c>
      <c r="G53" s="25">
        <f>ROUND(12.5,3)</f>
        <v>12.5</v>
      </c>
      <c r="H53" s="40">
        <f>ROUND(0,2)</f>
        <v>0</v>
      </c>
      <c r="I53" s="26">
        <f>ROUND(H53*G53,2)</f>
        <v>0</v>
      </c>
      <c r="J53" s="45" t="s">
        <v>25</v>
      </c>
      <c r="K53" s="26">
        <f>IF(ISNUMBER(J53),ROUND(I53*(J53+1),2),0)</f>
        <v>0</v>
      </c>
      <c r="L53" s="10"/>
      <c r="M53" s="4"/>
      <c r="N53" s="4"/>
      <c r="O53" s="4"/>
      <c r="P53" s="4"/>
      <c r="Q53" s="1">
        <f>IF(ISNUMBER(J53),IF(G53&gt;0,IF(H53&gt;0,I53,0),0),0)</f>
        <v>0</v>
      </c>
      <c r="R53" s="1">
        <f>IF(ISNUMBER(J53)=FALSE,I53,0)</f>
        <v>0</v>
      </c>
    </row>
    <row r="54" spans="1:19">
      <c r="A54" s="9"/>
      <c r="B54" s="283" t="s">
        <v>27</v>
      </c>
      <c r="C54" s="276"/>
      <c r="D54" s="276"/>
      <c r="E54" s="27" t="s">
        <v>25</v>
      </c>
      <c r="F54" s="3"/>
      <c r="G54" s="3"/>
      <c r="H54" s="39"/>
      <c r="I54" s="3"/>
      <c r="J54" s="39"/>
      <c r="K54" s="3"/>
      <c r="L54" s="10"/>
      <c r="M54" s="4"/>
      <c r="N54" s="4"/>
      <c r="O54" s="4"/>
      <c r="P54" s="4"/>
    </row>
    <row r="55" spans="1:19" ht="13.5" thickBot="1">
      <c r="A55" s="9"/>
      <c r="B55" s="281" t="s">
        <v>28</v>
      </c>
      <c r="C55" s="282"/>
      <c r="D55" s="282"/>
      <c r="E55" s="29" t="s">
        <v>25</v>
      </c>
      <c r="F55" s="28"/>
      <c r="G55" s="28"/>
      <c r="H55" s="41"/>
      <c r="I55" s="28"/>
      <c r="J55" s="41"/>
      <c r="K55" s="28"/>
      <c r="L55" s="10"/>
      <c r="M55" s="4"/>
      <c r="N55" s="4"/>
      <c r="O55" s="4"/>
      <c r="P55" s="4"/>
    </row>
    <row r="56" spans="1:19" ht="13.5" thickTop="1">
      <c r="A56" s="9"/>
      <c r="B56" s="22">
        <v>8</v>
      </c>
      <c r="C56" s="23" t="s">
        <v>111</v>
      </c>
      <c r="D56" s="23" t="s">
        <v>25</v>
      </c>
      <c r="E56" s="23" t="s">
        <v>112</v>
      </c>
      <c r="F56" s="24" t="s">
        <v>49</v>
      </c>
      <c r="G56" s="30">
        <f>ROUND(15.5,3)</f>
        <v>15.5</v>
      </c>
      <c r="H56" s="42">
        <f>ROUND(0,2)</f>
        <v>0</v>
      </c>
      <c r="I56" s="31">
        <f>ROUND(H56*G56,2)</f>
        <v>0</v>
      </c>
      <c r="J56" s="46" t="s">
        <v>25</v>
      </c>
      <c r="K56" s="31">
        <f>IF(ISNUMBER(J56),ROUND(I56*(J56+1),2),0)</f>
        <v>0</v>
      </c>
      <c r="L56" s="10"/>
      <c r="M56" s="4"/>
      <c r="N56" s="4"/>
      <c r="O56" s="4"/>
      <c r="P56" s="4"/>
      <c r="Q56" s="1">
        <f>IF(ISNUMBER(J56),IF(G56&gt;0,IF(H56&gt;0,I56,0),0),0)</f>
        <v>0</v>
      </c>
      <c r="R56" s="1">
        <f>IF(ISNUMBER(J56)=FALSE,I56,0)</f>
        <v>0</v>
      </c>
    </row>
    <row r="57" spans="1:19">
      <c r="A57" s="9"/>
      <c r="B57" s="283" t="s">
        <v>27</v>
      </c>
      <c r="C57" s="276"/>
      <c r="D57" s="276"/>
      <c r="E57" s="27" t="s">
        <v>113</v>
      </c>
      <c r="F57" s="3"/>
      <c r="G57" s="3"/>
      <c r="H57" s="39"/>
      <c r="I57" s="3"/>
      <c r="J57" s="39"/>
      <c r="K57" s="3"/>
      <c r="L57" s="10"/>
      <c r="M57" s="4"/>
      <c r="N57" s="4"/>
      <c r="O57" s="4"/>
      <c r="P57" s="4"/>
    </row>
    <row r="58" spans="1:19" ht="13.5" thickBot="1">
      <c r="A58" s="9"/>
      <c r="B58" s="281" t="s">
        <v>28</v>
      </c>
      <c r="C58" s="282"/>
      <c r="D58" s="282"/>
      <c r="E58" s="29" t="s">
        <v>25</v>
      </c>
      <c r="F58" s="28"/>
      <c r="G58" s="28"/>
      <c r="H58" s="41"/>
      <c r="I58" s="28"/>
      <c r="J58" s="41"/>
      <c r="K58" s="28"/>
      <c r="L58" s="10"/>
      <c r="M58" s="4"/>
      <c r="N58" s="4"/>
      <c r="O58" s="4"/>
      <c r="P58" s="4"/>
    </row>
    <row r="59" spans="1:19" ht="13.5" thickTop="1">
      <c r="A59" s="9"/>
      <c r="B59" s="22">
        <v>9</v>
      </c>
      <c r="C59" s="23" t="s">
        <v>114</v>
      </c>
      <c r="D59" s="23" t="s">
        <v>25</v>
      </c>
      <c r="E59" s="23" t="s">
        <v>115</v>
      </c>
      <c r="F59" s="24" t="s">
        <v>49</v>
      </c>
      <c r="G59" s="30">
        <f>ROUND(2,3)</f>
        <v>2</v>
      </c>
      <c r="H59" s="42">
        <f>ROUND(0,2)</f>
        <v>0</v>
      </c>
      <c r="I59" s="31">
        <f>ROUND(H59*G59,2)</f>
        <v>0</v>
      </c>
      <c r="J59" s="46" t="s">
        <v>25</v>
      </c>
      <c r="K59" s="31">
        <f>IF(ISNUMBER(J59),ROUND(I59*(J59+1),2),0)</f>
        <v>0</v>
      </c>
      <c r="L59" s="10"/>
      <c r="M59" s="4"/>
      <c r="N59" s="4"/>
      <c r="O59" s="4"/>
      <c r="P59" s="4"/>
      <c r="Q59" s="1">
        <f>IF(ISNUMBER(J59),IF(G59&gt;0,IF(H59&gt;0,I59,0),0),0)</f>
        <v>0</v>
      </c>
      <c r="R59" s="1">
        <f>IF(ISNUMBER(J59)=FALSE,I59,0)</f>
        <v>0</v>
      </c>
    </row>
    <row r="60" spans="1:19">
      <c r="A60" s="9"/>
      <c r="B60" s="283" t="s">
        <v>27</v>
      </c>
      <c r="C60" s="276"/>
      <c r="D60" s="276"/>
      <c r="E60" s="27" t="s">
        <v>116</v>
      </c>
      <c r="F60" s="3"/>
      <c r="G60" s="3"/>
      <c r="H60" s="39"/>
      <c r="I60" s="3"/>
      <c r="J60" s="39"/>
      <c r="K60" s="3"/>
      <c r="L60" s="10"/>
      <c r="M60" s="4"/>
      <c r="N60" s="4"/>
      <c r="O60" s="4"/>
      <c r="P60" s="4"/>
    </row>
    <row r="61" spans="1:19" ht="13.5" thickBot="1">
      <c r="A61" s="9"/>
      <c r="B61" s="281" t="s">
        <v>28</v>
      </c>
      <c r="C61" s="282"/>
      <c r="D61" s="282"/>
      <c r="E61" s="29" t="s">
        <v>25</v>
      </c>
      <c r="F61" s="28"/>
      <c r="G61" s="28"/>
      <c r="H61" s="41"/>
      <c r="I61" s="28"/>
      <c r="J61" s="41"/>
      <c r="K61" s="28"/>
      <c r="L61" s="10"/>
      <c r="M61" s="4"/>
      <c r="N61" s="4"/>
      <c r="O61" s="4"/>
      <c r="P61" s="4"/>
    </row>
    <row r="62" spans="1:19" ht="24.95" customHeight="1" thickTop="1" thickBot="1">
      <c r="A62" s="9"/>
      <c r="B62" s="32"/>
      <c r="C62" s="33">
        <v>2</v>
      </c>
      <c r="D62" s="32"/>
      <c r="E62" s="34" t="s">
        <v>118</v>
      </c>
      <c r="F62" s="35" t="s">
        <v>44</v>
      </c>
      <c r="G62" s="36">
        <f>I53+I56+I59</f>
        <v>0</v>
      </c>
      <c r="H62" s="43" t="s">
        <v>45</v>
      </c>
      <c r="I62" s="37">
        <f>IF(COUNT(J53:J62)&gt;0,AVERAGE(J53:J62),0.21)</f>
        <v>0.21</v>
      </c>
      <c r="J62" s="43" t="s">
        <v>46</v>
      </c>
      <c r="K62" s="36">
        <f>ROUND(Q62*(1+I62),2)+R62</f>
        <v>0</v>
      </c>
      <c r="L62" s="10"/>
      <c r="M62" s="4"/>
      <c r="N62" s="4"/>
      <c r="O62" s="4"/>
      <c r="P62" s="4"/>
      <c r="Q62" s="1">
        <f>0+Q53+Q56+Q59</f>
        <v>0</v>
      </c>
      <c r="R62" s="1">
        <f>0+R53+R56+R59</f>
        <v>0</v>
      </c>
      <c r="S62" s="2">
        <f>Q62*(1+I62)+R62</f>
        <v>0</v>
      </c>
    </row>
    <row r="63" spans="1:19" ht="39.950000000000003" customHeight="1">
      <c r="A63" s="9"/>
      <c r="B63" s="284" t="s">
        <v>151</v>
      </c>
      <c r="C63" s="276"/>
      <c r="D63" s="276"/>
      <c r="E63" s="285"/>
      <c r="F63" s="276"/>
      <c r="G63" s="276"/>
      <c r="H63" s="286"/>
      <c r="I63" s="276"/>
      <c r="J63" s="286"/>
      <c r="K63" s="276"/>
      <c r="L63" s="10"/>
      <c r="M63" s="4"/>
      <c r="N63" s="4"/>
      <c r="O63" s="4"/>
      <c r="P63" s="4"/>
    </row>
    <row r="64" spans="1:19">
      <c r="A64" s="9"/>
      <c r="B64" s="22">
        <v>10</v>
      </c>
      <c r="C64" s="23" t="s">
        <v>123</v>
      </c>
      <c r="D64" s="23" t="s">
        <v>25</v>
      </c>
      <c r="E64" s="23" t="s">
        <v>124</v>
      </c>
      <c r="F64" s="24" t="s">
        <v>49</v>
      </c>
      <c r="G64" s="25">
        <f>ROUND(334.5,3)</f>
        <v>334.5</v>
      </c>
      <c r="H64" s="40">
        <f>ROUND(0,2)</f>
        <v>0</v>
      </c>
      <c r="I64" s="26">
        <f>ROUND(H64*G64,2)</f>
        <v>0</v>
      </c>
      <c r="J64" s="45" t="s">
        <v>25</v>
      </c>
      <c r="K64" s="26">
        <f>IF(ISNUMBER(J64),ROUND(I64*(J64+1),2),0)</f>
        <v>0</v>
      </c>
      <c r="L64" s="10"/>
      <c r="M64" s="4"/>
      <c r="N64" s="4"/>
      <c r="O64" s="4"/>
      <c r="P64" s="4"/>
      <c r="Q64" s="1">
        <f>IF(ISNUMBER(J64),IF(G64&gt;0,IF(H64&gt;0,I64,0),0),0)</f>
        <v>0</v>
      </c>
      <c r="R64" s="1">
        <f>IF(ISNUMBER(J64)=FALSE,I64,0)</f>
        <v>0</v>
      </c>
    </row>
    <row r="65" spans="1:18">
      <c r="A65" s="9"/>
      <c r="B65" s="283" t="s">
        <v>27</v>
      </c>
      <c r="C65" s="276"/>
      <c r="D65" s="276"/>
      <c r="E65" s="27" t="s">
        <v>125</v>
      </c>
      <c r="F65" s="3"/>
      <c r="G65" s="3"/>
      <c r="H65" s="39"/>
      <c r="I65" s="3"/>
      <c r="J65" s="39"/>
      <c r="K65" s="3"/>
      <c r="L65" s="10"/>
      <c r="M65" s="4"/>
      <c r="N65" s="4"/>
      <c r="O65" s="4"/>
      <c r="P65" s="4"/>
    </row>
    <row r="66" spans="1:18" ht="13.5" thickBot="1">
      <c r="A66" s="9"/>
      <c r="B66" s="281" t="s">
        <v>28</v>
      </c>
      <c r="C66" s="282"/>
      <c r="D66" s="282"/>
      <c r="E66" s="29" t="s">
        <v>25</v>
      </c>
      <c r="F66" s="28"/>
      <c r="G66" s="28"/>
      <c r="H66" s="41"/>
      <c r="I66" s="28"/>
      <c r="J66" s="41"/>
      <c r="K66" s="28"/>
      <c r="L66" s="10"/>
      <c r="M66" s="4"/>
      <c r="N66" s="4"/>
      <c r="O66" s="4"/>
      <c r="P66" s="4"/>
    </row>
    <row r="67" spans="1:18" ht="13.5" thickTop="1">
      <c r="A67" s="9"/>
      <c r="B67" s="22">
        <v>11</v>
      </c>
      <c r="C67" s="23" t="s">
        <v>126</v>
      </c>
      <c r="D67" s="23" t="s">
        <v>25</v>
      </c>
      <c r="E67" s="23" t="s">
        <v>127</v>
      </c>
      <c r="F67" s="24" t="s">
        <v>49</v>
      </c>
      <c r="G67" s="30">
        <f>ROUND(214.5,3)</f>
        <v>214.5</v>
      </c>
      <c r="H67" s="42">
        <f>ROUND(0,2)</f>
        <v>0</v>
      </c>
      <c r="I67" s="31">
        <f>ROUND(H67*G67,2)</f>
        <v>0</v>
      </c>
      <c r="J67" s="46" t="s">
        <v>25</v>
      </c>
      <c r="K67" s="31">
        <f>IF(ISNUMBER(J67),ROUND(I67*(J67+1),2),0)</f>
        <v>0</v>
      </c>
      <c r="L67" s="10"/>
      <c r="M67" s="4"/>
      <c r="N67" s="4"/>
      <c r="O67" s="4"/>
      <c r="P67" s="4"/>
      <c r="Q67" s="1">
        <f>IF(ISNUMBER(J67),IF(G67&gt;0,IF(H67&gt;0,I67,0),0),0)</f>
        <v>0</v>
      </c>
      <c r="R67" s="1">
        <f>IF(ISNUMBER(J67)=FALSE,I67,0)</f>
        <v>0</v>
      </c>
    </row>
    <row r="68" spans="1:18">
      <c r="A68" s="9"/>
      <c r="B68" s="283" t="s">
        <v>27</v>
      </c>
      <c r="C68" s="276"/>
      <c r="D68" s="276"/>
      <c r="E68" s="27" t="s">
        <v>128</v>
      </c>
      <c r="F68" s="3"/>
      <c r="G68" s="3"/>
      <c r="H68" s="39"/>
      <c r="I68" s="3"/>
      <c r="J68" s="39"/>
      <c r="K68" s="3"/>
      <c r="L68" s="10"/>
      <c r="M68" s="4"/>
      <c r="N68" s="4"/>
      <c r="O68" s="4"/>
      <c r="P68" s="4"/>
    </row>
    <row r="69" spans="1:18" ht="13.5" thickBot="1">
      <c r="A69" s="9"/>
      <c r="B69" s="281" t="s">
        <v>28</v>
      </c>
      <c r="C69" s="282"/>
      <c r="D69" s="282"/>
      <c r="E69" s="29" t="s">
        <v>25</v>
      </c>
      <c r="F69" s="28"/>
      <c r="G69" s="28"/>
      <c r="H69" s="41"/>
      <c r="I69" s="28"/>
      <c r="J69" s="41"/>
      <c r="K69" s="28"/>
      <c r="L69" s="10"/>
      <c r="M69" s="4"/>
      <c r="N69" s="4"/>
      <c r="O69" s="4"/>
      <c r="P69" s="4"/>
    </row>
    <row r="70" spans="1:18" ht="13.5" thickTop="1">
      <c r="A70" s="9"/>
      <c r="B70" s="22">
        <v>12</v>
      </c>
      <c r="C70" s="23" t="s">
        <v>181</v>
      </c>
      <c r="D70" s="23" t="s">
        <v>25</v>
      </c>
      <c r="E70" s="23" t="s">
        <v>182</v>
      </c>
      <c r="F70" s="24" t="s">
        <v>57</v>
      </c>
      <c r="G70" s="30">
        <f>ROUND(3.5,3)</f>
        <v>3.5</v>
      </c>
      <c r="H70" s="42">
        <f>ROUND(0,2)</f>
        <v>0</v>
      </c>
      <c r="I70" s="31">
        <f>ROUND(H70*G70,2)</f>
        <v>0</v>
      </c>
      <c r="J70" s="46" t="s">
        <v>25</v>
      </c>
      <c r="K70" s="31">
        <f>IF(ISNUMBER(J70),ROUND(I70*(J70+1),2),0)</f>
        <v>0</v>
      </c>
      <c r="L70" s="10"/>
      <c r="M70" s="4"/>
      <c r="N70" s="4"/>
      <c r="O70" s="4"/>
      <c r="P70" s="4"/>
      <c r="Q70" s="1">
        <f>IF(ISNUMBER(J70),IF(G70&gt;0,IF(H70&gt;0,I70,0),0),0)</f>
        <v>0</v>
      </c>
      <c r="R70" s="1">
        <f>IF(ISNUMBER(J70)=FALSE,I70,0)</f>
        <v>0</v>
      </c>
    </row>
    <row r="71" spans="1:18" ht="25.5">
      <c r="A71" s="9"/>
      <c r="B71" s="283" t="s">
        <v>27</v>
      </c>
      <c r="C71" s="276"/>
      <c r="D71" s="276"/>
      <c r="E71" s="27" t="s">
        <v>183</v>
      </c>
      <c r="F71" s="3"/>
      <c r="G71" s="3"/>
      <c r="H71" s="39"/>
      <c r="I71" s="3"/>
      <c r="J71" s="39"/>
      <c r="K71" s="3"/>
      <c r="L71" s="10"/>
      <c r="M71" s="4"/>
      <c r="N71" s="4"/>
      <c r="O71" s="4"/>
      <c r="P71" s="4"/>
    </row>
    <row r="72" spans="1:18" ht="13.5" thickBot="1">
      <c r="A72" s="9"/>
      <c r="B72" s="281" t="s">
        <v>28</v>
      </c>
      <c r="C72" s="282"/>
      <c r="D72" s="282"/>
      <c r="E72" s="29" t="s">
        <v>25</v>
      </c>
      <c r="F72" s="28"/>
      <c r="G72" s="28"/>
      <c r="H72" s="41"/>
      <c r="I72" s="28"/>
      <c r="J72" s="41"/>
      <c r="K72" s="28"/>
      <c r="L72" s="10"/>
      <c r="M72" s="4"/>
      <c r="N72" s="4"/>
      <c r="O72" s="4"/>
      <c r="P72" s="4"/>
    </row>
    <row r="73" spans="1:18" ht="13.5" thickTop="1">
      <c r="A73" s="9"/>
      <c r="B73" s="22">
        <v>13</v>
      </c>
      <c r="C73" s="23" t="s">
        <v>129</v>
      </c>
      <c r="D73" s="23" t="s">
        <v>25</v>
      </c>
      <c r="E73" s="23" t="s">
        <v>130</v>
      </c>
      <c r="F73" s="24" t="s">
        <v>49</v>
      </c>
      <c r="G73" s="30">
        <f>ROUND(214.5,3)</f>
        <v>214.5</v>
      </c>
      <c r="H73" s="42">
        <f>ROUND(0,2)</f>
        <v>0</v>
      </c>
      <c r="I73" s="31">
        <f>ROUND(H73*G73,2)</f>
        <v>0</v>
      </c>
      <c r="J73" s="46" t="s">
        <v>25</v>
      </c>
      <c r="K73" s="31">
        <f>IF(ISNUMBER(J73),ROUND(I73*(J73+1),2),0)</f>
        <v>0</v>
      </c>
      <c r="L73" s="10"/>
      <c r="M73" s="4"/>
      <c r="N73" s="4"/>
      <c r="O73" s="4"/>
      <c r="P73" s="4"/>
      <c r="Q73" s="1">
        <f>IF(ISNUMBER(J73),IF(G73&gt;0,IF(H73&gt;0,I73,0),0),0)</f>
        <v>0</v>
      </c>
      <c r="R73" s="1">
        <f>IF(ISNUMBER(J73)=FALSE,I73,0)</f>
        <v>0</v>
      </c>
    </row>
    <row r="74" spans="1:18">
      <c r="A74" s="9"/>
      <c r="B74" s="283" t="s">
        <v>27</v>
      </c>
      <c r="C74" s="276"/>
      <c r="D74" s="276"/>
      <c r="E74" s="27" t="s">
        <v>25</v>
      </c>
      <c r="F74" s="3"/>
      <c r="G74" s="3"/>
      <c r="H74" s="39"/>
      <c r="I74" s="3"/>
      <c r="J74" s="39"/>
      <c r="K74" s="3"/>
      <c r="L74" s="10"/>
      <c r="M74" s="4"/>
      <c r="N74" s="4"/>
      <c r="O74" s="4"/>
      <c r="P74" s="4"/>
    </row>
    <row r="75" spans="1:18" ht="13.5" thickBot="1">
      <c r="A75" s="9"/>
      <c r="B75" s="281" t="s">
        <v>28</v>
      </c>
      <c r="C75" s="282"/>
      <c r="D75" s="282"/>
      <c r="E75" s="29" t="s">
        <v>25</v>
      </c>
      <c r="F75" s="28"/>
      <c r="G75" s="28"/>
      <c r="H75" s="41"/>
      <c r="I75" s="28"/>
      <c r="J75" s="41"/>
      <c r="K75" s="28"/>
      <c r="L75" s="10"/>
      <c r="M75" s="4"/>
      <c r="N75" s="4"/>
      <c r="O75" s="4"/>
      <c r="P75" s="4"/>
    </row>
    <row r="76" spans="1:18" ht="13.5" thickTop="1">
      <c r="A76" s="9"/>
      <c r="B76" s="22">
        <v>14</v>
      </c>
      <c r="C76" s="23" t="s">
        <v>132</v>
      </c>
      <c r="D76" s="23" t="s">
        <v>25</v>
      </c>
      <c r="E76" s="23" t="s">
        <v>133</v>
      </c>
      <c r="F76" s="24" t="s">
        <v>49</v>
      </c>
      <c r="G76" s="30">
        <f>ROUND(408.5,3)</f>
        <v>408.5</v>
      </c>
      <c r="H76" s="42">
        <f>ROUND(0,2)</f>
        <v>0</v>
      </c>
      <c r="I76" s="31">
        <f>ROUND(H76*G76,2)</f>
        <v>0</v>
      </c>
      <c r="J76" s="46" t="s">
        <v>25</v>
      </c>
      <c r="K76" s="31">
        <f>IF(ISNUMBER(J76),ROUND(I76*(J76+1),2),0)</f>
        <v>0</v>
      </c>
      <c r="L76" s="10"/>
      <c r="M76" s="4"/>
      <c r="N76" s="4"/>
      <c r="O76" s="4"/>
      <c r="P76" s="4"/>
      <c r="Q76" s="1">
        <f>IF(ISNUMBER(J76),IF(G76&gt;0,IF(H76&gt;0,I76,0),0),0)</f>
        <v>0</v>
      </c>
      <c r="R76" s="1">
        <f>IF(ISNUMBER(J76)=FALSE,I76,0)</f>
        <v>0</v>
      </c>
    </row>
    <row r="77" spans="1:18">
      <c r="A77" s="9"/>
      <c r="B77" s="283" t="s">
        <v>27</v>
      </c>
      <c r="C77" s="276"/>
      <c r="D77" s="276"/>
      <c r="E77" s="27" t="s">
        <v>134</v>
      </c>
      <c r="F77" s="3"/>
      <c r="G77" s="3"/>
      <c r="H77" s="39"/>
      <c r="I77" s="3"/>
      <c r="J77" s="39"/>
      <c r="K77" s="3"/>
      <c r="L77" s="10"/>
      <c r="M77" s="4"/>
      <c r="N77" s="4"/>
      <c r="O77" s="4"/>
      <c r="P77" s="4"/>
    </row>
    <row r="78" spans="1:18" ht="13.5" thickBot="1">
      <c r="A78" s="9"/>
      <c r="B78" s="281" t="s">
        <v>28</v>
      </c>
      <c r="C78" s="282"/>
      <c r="D78" s="282"/>
      <c r="E78" s="29" t="s">
        <v>25</v>
      </c>
      <c r="F78" s="28"/>
      <c r="G78" s="28"/>
      <c r="H78" s="41"/>
      <c r="I78" s="28"/>
      <c r="J78" s="41"/>
      <c r="K78" s="28"/>
      <c r="L78" s="10"/>
      <c r="M78" s="4"/>
      <c r="N78" s="4"/>
      <c r="O78" s="4"/>
      <c r="P78" s="4"/>
    </row>
    <row r="79" spans="1:18" ht="13.5" thickTop="1">
      <c r="A79" s="9"/>
      <c r="B79" s="22">
        <v>15</v>
      </c>
      <c r="C79" s="23" t="s">
        <v>135</v>
      </c>
      <c r="D79" s="23" t="s">
        <v>25</v>
      </c>
      <c r="E79" s="23" t="s">
        <v>136</v>
      </c>
      <c r="F79" s="24" t="s">
        <v>49</v>
      </c>
      <c r="G79" s="30">
        <f>ROUND(204.2,3)</f>
        <v>204.2</v>
      </c>
      <c r="H79" s="42">
        <f>ROUND(0,2)</f>
        <v>0</v>
      </c>
      <c r="I79" s="31">
        <f>ROUND(H79*G79,2)</f>
        <v>0</v>
      </c>
      <c r="J79" s="46" t="s">
        <v>25</v>
      </c>
      <c r="K79" s="31">
        <f>IF(ISNUMBER(J79),ROUND(I79*(J79+1),2),0)</f>
        <v>0</v>
      </c>
      <c r="L79" s="10"/>
      <c r="M79" s="4"/>
      <c r="N79" s="4"/>
      <c r="O79" s="4"/>
      <c r="P79" s="4"/>
      <c r="Q79" s="1">
        <f>IF(ISNUMBER(J79),IF(G79&gt;0,IF(H79&gt;0,I79,0),0),0)</f>
        <v>0</v>
      </c>
      <c r="R79" s="1">
        <f>IF(ISNUMBER(J79)=FALSE,I79,0)</f>
        <v>0</v>
      </c>
    </row>
    <row r="80" spans="1:18">
      <c r="A80" s="9"/>
      <c r="B80" s="283" t="s">
        <v>27</v>
      </c>
      <c r="C80" s="276"/>
      <c r="D80" s="276"/>
      <c r="E80" s="27" t="s">
        <v>25</v>
      </c>
      <c r="F80" s="3"/>
      <c r="G80" s="3"/>
      <c r="H80" s="39"/>
      <c r="I80" s="3"/>
      <c r="J80" s="39"/>
      <c r="K80" s="3"/>
      <c r="L80" s="10"/>
      <c r="M80" s="4"/>
      <c r="N80" s="4"/>
      <c r="O80" s="4"/>
      <c r="P80" s="4"/>
    </row>
    <row r="81" spans="1:18" ht="13.5" thickBot="1">
      <c r="A81" s="9"/>
      <c r="B81" s="281" t="s">
        <v>28</v>
      </c>
      <c r="C81" s="282"/>
      <c r="D81" s="282"/>
      <c r="E81" s="29" t="s">
        <v>25</v>
      </c>
      <c r="F81" s="28"/>
      <c r="G81" s="28"/>
      <c r="H81" s="41"/>
      <c r="I81" s="28"/>
      <c r="J81" s="41"/>
      <c r="K81" s="28"/>
      <c r="L81" s="10"/>
      <c r="M81" s="4"/>
      <c r="N81" s="4"/>
      <c r="O81" s="4"/>
      <c r="P81" s="4"/>
    </row>
    <row r="82" spans="1:18" ht="13.5" thickTop="1">
      <c r="A82" s="9"/>
      <c r="B82" s="22">
        <v>16</v>
      </c>
      <c r="C82" s="23" t="s">
        <v>137</v>
      </c>
      <c r="D82" s="23" t="s">
        <v>25</v>
      </c>
      <c r="E82" s="23" t="s">
        <v>138</v>
      </c>
      <c r="F82" s="24" t="s">
        <v>49</v>
      </c>
      <c r="G82" s="30">
        <f>ROUND(205.5,3)</f>
        <v>205.5</v>
      </c>
      <c r="H82" s="42">
        <f>ROUND(0,2)</f>
        <v>0</v>
      </c>
      <c r="I82" s="31">
        <f>ROUND(H82*G82,2)</f>
        <v>0</v>
      </c>
      <c r="J82" s="46" t="s">
        <v>25</v>
      </c>
      <c r="K82" s="31">
        <f>IF(ISNUMBER(J82),ROUND(I82*(J82+1),2),0)</f>
        <v>0</v>
      </c>
      <c r="L82" s="10"/>
      <c r="M82" s="4"/>
      <c r="N82" s="4"/>
      <c r="O82" s="4"/>
      <c r="P82" s="4"/>
      <c r="Q82" s="1">
        <f>IF(ISNUMBER(J82),IF(G82&gt;0,IF(H82&gt;0,I82,0),0),0)</f>
        <v>0</v>
      </c>
      <c r="R82" s="1">
        <f>IF(ISNUMBER(J82)=FALSE,I82,0)</f>
        <v>0</v>
      </c>
    </row>
    <row r="83" spans="1:18">
      <c r="A83" s="9"/>
      <c r="B83" s="283" t="s">
        <v>27</v>
      </c>
      <c r="C83" s="276"/>
      <c r="D83" s="276"/>
      <c r="E83" s="27" t="s">
        <v>25</v>
      </c>
      <c r="F83" s="3"/>
      <c r="G83" s="3"/>
      <c r="H83" s="39"/>
      <c r="I83" s="3"/>
      <c r="J83" s="39"/>
      <c r="K83" s="3"/>
      <c r="L83" s="10"/>
      <c r="M83" s="4"/>
      <c r="N83" s="4"/>
      <c r="O83" s="4"/>
      <c r="P83" s="4"/>
    </row>
    <row r="84" spans="1:18" ht="13.5" thickBot="1">
      <c r="A84" s="9"/>
      <c r="B84" s="281" t="s">
        <v>28</v>
      </c>
      <c r="C84" s="282"/>
      <c r="D84" s="282"/>
      <c r="E84" s="29" t="s">
        <v>25</v>
      </c>
      <c r="F84" s="28"/>
      <c r="G84" s="28"/>
      <c r="H84" s="41"/>
      <c r="I84" s="28"/>
      <c r="J84" s="41"/>
      <c r="K84" s="28"/>
      <c r="L84" s="10"/>
      <c r="M84" s="4"/>
      <c r="N84" s="4"/>
      <c r="O84" s="4"/>
      <c r="P84" s="4"/>
    </row>
    <row r="85" spans="1:18" ht="13.5" thickTop="1">
      <c r="A85" s="9"/>
      <c r="B85" s="22">
        <v>17</v>
      </c>
      <c r="C85" s="23" t="s">
        <v>139</v>
      </c>
      <c r="D85" s="23" t="s">
        <v>25</v>
      </c>
      <c r="E85" s="23" t="s">
        <v>140</v>
      </c>
      <c r="F85" s="24" t="s">
        <v>49</v>
      </c>
      <c r="G85" s="30">
        <f>ROUND(207,3)</f>
        <v>207</v>
      </c>
      <c r="H85" s="42">
        <f>ROUND(0,2)</f>
        <v>0</v>
      </c>
      <c r="I85" s="31">
        <f>ROUND(H85*G85,2)</f>
        <v>0</v>
      </c>
      <c r="J85" s="46" t="s">
        <v>25</v>
      </c>
      <c r="K85" s="31">
        <f>IF(ISNUMBER(J85),ROUND(I85*(J85+1),2),0)</f>
        <v>0</v>
      </c>
      <c r="L85" s="10"/>
      <c r="M85" s="4"/>
      <c r="N85" s="4"/>
      <c r="O85" s="4"/>
      <c r="P85" s="4"/>
      <c r="Q85" s="1">
        <f>IF(ISNUMBER(J85),IF(G85&gt;0,IF(H85&gt;0,I85,0),0),0)</f>
        <v>0</v>
      </c>
      <c r="R85" s="1">
        <f>IF(ISNUMBER(J85)=FALSE,I85,0)</f>
        <v>0</v>
      </c>
    </row>
    <row r="86" spans="1:18">
      <c r="A86" s="9"/>
      <c r="B86" s="283" t="s">
        <v>27</v>
      </c>
      <c r="C86" s="276"/>
      <c r="D86" s="276"/>
      <c r="E86" s="27" t="s">
        <v>25</v>
      </c>
      <c r="F86" s="3"/>
      <c r="G86" s="3"/>
      <c r="H86" s="39"/>
      <c r="I86" s="3"/>
      <c r="J86" s="39"/>
      <c r="K86" s="3"/>
      <c r="L86" s="10"/>
      <c r="M86" s="4"/>
      <c r="N86" s="4"/>
      <c r="O86" s="4"/>
      <c r="P86" s="4"/>
    </row>
    <row r="87" spans="1:18" ht="13.5" thickBot="1">
      <c r="A87" s="9"/>
      <c r="B87" s="281" t="s">
        <v>28</v>
      </c>
      <c r="C87" s="282"/>
      <c r="D87" s="282"/>
      <c r="E87" s="29" t="s">
        <v>25</v>
      </c>
      <c r="F87" s="28"/>
      <c r="G87" s="28"/>
      <c r="H87" s="41"/>
      <c r="I87" s="28"/>
      <c r="J87" s="41"/>
      <c r="K87" s="28"/>
      <c r="L87" s="10"/>
      <c r="M87" s="4"/>
      <c r="N87" s="4"/>
      <c r="O87" s="4"/>
      <c r="P87" s="4"/>
    </row>
    <row r="88" spans="1:18" ht="13.5" thickTop="1">
      <c r="A88" s="9"/>
      <c r="B88" s="22">
        <v>18</v>
      </c>
      <c r="C88" s="23" t="s">
        <v>184</v>
      </c>
      <c r="D88" s="23" t="s">
        <v>185</v>
      </c>
      <c r="E88" s="23" t="s">
        <v>186</v>
      </c>
      <c r="F88" s="24" t="s">
        <v>49</v>
      </c>
      <c r="G88" s="30">
        <f>ROUND(152,3)</f>
        <v>152</v>
      </c>
      <c r="H88" s="42">
        <f>ROUND(0,2)</f>
        <v>0</v>
      </c>
      <c r="I88" s="31">
        <f>ROUND(H88*G88,2)</f>
        <v>0</v>
      </c>
      <c r="J88" s="46" t="s">
        <v>25</v>
      </c>
      <c r="K88" s="31">
        <f>IF(ISNUMBER(J88),ROUND(I88*(J88+1),2),0)</f>
        <v>0</v>
      </c>
      <c r="L88" s="10"/>
      <c r="M88" s="4"/>
      <c r="N88" s="4"/>
      <c r="O88" s="4"/>
      <c r="P88" s="4"/>
      <c r="Q88" s="1">
        <f>IF(ISNUMBER(J88),IF(G88&gt;0,IF(H88&gt;0,I88,0),0),0)</f>
        <v>0</v>
      </c>
      <c r="R88" s="1">
        <f>IF(ISNUMBER(J88)=FALSE,I88,0)</f>
        <v>0</v>
      </c>
    </row>
    <row r="89" spans="1:18">
      <c r="A89" s="9"/>
      <c r="B89" s="283" t="s">
        <v>27</v>
      </c>
      <c r="C89" s="276"/>
      <c r="D89" s="276"/>
      <c r="E89" s="27" t="s">
        <v>146</v>
      </c>
      <c r="F89" s="3"/>
      <c r="G89" s="3"/>
      <c r="H89" s="39"/>
      <c r="I89" s="3"/>
      <c r="J89" s="39"/>
      <c r="K89" s="3"/>
      <c r="L89" s="10"/>
      <c r="M89" s="4"/>
      <c r="N89" s="4"/>
      <c r="O89" s="4"/>
      <c r="P89" s="4"/>
    </row>
    <row r="90" spans="1:18" ht="13.5" thickBot="1">
      <c r="A90" s="9"/>
      <c r="B90" s="281" t="s">
        <v>28</v>
      </c>
      <c r="C90" s="282"/>
      <c r="D90" s="282"/>
      <c r="E90" s="29" t="s">
        <v>25</v>
      </c>
      <c r="F90" s="28"/>
      <c r="G90" s="28"/>
      <c r="H90" s="41"/>
      <c r="I90" s="28"/>
      <c r="J90" s="41"/>
      <c r="K90" s="28"/>
      <c r="L90" s="10"/>
      <c r="M90" s="4"/>
      <c r="N90" s="4"/>
      <c r="O90" s="4"/>
      <c r="P90" s="4"/>
    </row>
    <row r="91" spans="1:18" ht="13.5" thickTop="1">
      <c r="A91" s="9"/>
      <c r="B91" s="22">
        <v>19</v>
      </c>
      <c r="C91" s="23" t="s">
        <v>141</v>
      </c>
      <c r="D91" s="23" t="s">
        <v>25</v>
      </c>
      <c r="E91" s="23" t="s">
        <v>142</v>
      </c>
      <c r="F91" s="24" t="s">
        <v>49</v>
      </c>
      <c r="G91" s="30">
        <f>ROUND(2,3)</f>
        <v>2</v>
      </c>
      <c r="H91" s="42">
        <f>ROUND(0,2)</f>
        <v>0</v>
      </c>
      <c r="I91" s="31">
        <f>ROUND(H91*G91,2)</f>
        <v>0</v>
      </c>
      <c r="J91" s="46" t="s">
        <v>25</v>
      </c>
      <c r="K91" s="31">
        <f>IF(ISNUMBER(J91),ROUND(I91*(J91+1),2),0)</f>
        <v>0</v>
      </c>
      <c r="L91" s="10"/>
      <c r="M91" s="4"/>
      <c r="N91" s="4"/>
      <c r="O91" s="4"/>
      <c r="P91" s="4"/>
      <c r="Q91" s="1">
        <f>IF(ISNUMBER(J91),IF(G91&gt;0,IF(H91&gt;0,I91,0),0),0)</f>
        <v>0</v>
      </c>
      <c r="R91" s="1">
        <f>IF(ISNUMBER(J91)=FALSE,I91,0)</f>
        <v>0</v>
      </c>
    </row>
    <row r="92" spans="1:18">
      <c r="A92" s="9"/>
      <c r="B92" s="283" t="s">
        <v>27</v>
      </c>
      <c r="C92" s="276"/>
      <c r="D92" s="276"/>
      <c r="E92" s="27" t="s">
        <v>143</v>
      </c>
      <c r="F92" s="3"/>
      <c r="G92" s="3"/>
      <c r="H92" s="39"/>
      <c r="I92" s="3"/>
      <c r="J92" s="39"/>
      <c r="K92" s="3"/>
      <c r="L92" s="10"/>
      <c r="M92" s="4"/>
      <c r="N92" s="4"/>
      <c r="O92" s="4"/>
      <c r="P92" s="4"/>
    </row>
    <row r="93" spans="1:18" ht="13.5" thickBot="1">
      <c r="A93" s="9"/>
      <c r="B93" s="281" t="s">
        <v>28</v>
      </c>
      <c r="C93" s="282"/>
      <c r="D93" s="282"/>
      <c r="E93" s="29" t="s">
        <v>25</v>
      </c>
      <c r="F93" s="28"/>
      <c r="G93" s="28"/>
      <c r="H93" s="41"/>
      <c r="I93" s="28"/>
      <c r="J93" s="41"/>
      <c r="K93" s="28"/>
      <c r="L93" s="10"/>
      <c r="M93" s="4"/>
      <c r="N93" s="4"/>
      <c r="O93" s="4"/>
      <c r="P93" s="4"/>
    </row>
    <row r="94" spans="1:18" ht="13.5" thickTop="1">
      <c r="A94" s="9"/>
      <c r="B94" s="22">
        <v>20</v>
      </c>
      <c r="C94" s="23" t="s">
        <v>144</v>
      </c>
      <c r="D94" s="23" t="s">
        <v>25</v>
      </c>
      <c r="E94" s="23" t="s">
        <v>145</v>
      </c>
      <c r="F94" s="24" t="s">
        <v>49</v>
      </c>
      <c r="G94" s="30">
        <f>ROUND(15,3)</f>
        <v>15</v>
      </c>
      <c r="H94" s="42">
        <f>ROUND(0,2)</f>
        <v>0</v>
      </c>
      <c r="I94" s="31">
        <f>ROUND(H94*G94,2)</f>
        <v>0</v>
      </c>
      <c r="J94" s="46" t="s">
        <v>25</v>
      </c>
      <c r="K94" s="31">
        <f>IF(ISNUMBER(J94),ROUND(I94*(J94+1),2),0)</f>
        <v>0</v>
      </c>
      <c r="L94" s="10"/>
      <c r="M94" s="4"/>
      <c r="N94" s="4"/>
      <c r="O94" s="4"/>
      <c r="P94" s="4"/>
      <c r="Q94" s="1">
        <f>IF(ISNUMBER(J94),IF(G94&gt;0,IF(H94&gt;0,I94,0),0),0)</f>
        <v>0</v>
      </c>
      <c r="R94" s="1">
        <f>IF(ISNUMBER(J94)=FALSE,I94,0)</f>
        <v>0</v>
      </c>
    </row>
    <row r="95" spans="1:18">
      <c r="A95" s="9"/>
      <c r="B95" s="283" t="s">
        <v>27</v>
      </c>
      <c r="C95" s="276"/>
      <c r="D95" s="276"/>
      <c r="E95" s="27" t="s">
        <v>146</v>
      </c>
      <c r="F95" s="3"/>
      <c r="G95" s="3"/>
      <c r="H95" s="39"/>
      <c r="I95" s="3"/>
      <c r="J95" s="39"/>
      <c r="K95" s="3"/>
      <c r="L95" s="10"/>
      <c r="M95" s="4"/>
      <c r="N95" s="4"/>
      <c r="O95" s="4"/>
      <c r="P95" s="4"/>
    </row>
    <row r="96" spans="1:18" ht="13.5" thickBot="1">
      <c r="A96" s="9"/>
      <c r="B96" s="281" t="s">
        <v>28</v>
      </c>
      <c r="C96" s="282"/>
      <c r="D96" s="282"/>
      <c r="E96" s="29" t="s">
        <v>25</v>
      </c>
      <c r="F96" s="28"/>
      <c r="G96" s="28"/>
      <c r="H96" s="41"/>
      <c r="I96" s="28"/>
      <c r="J96" s="41"/>
      <c r="K96" s="28"/>
      <c r="L96" s="10"/>
      <c r="M96" s="4"/>
      <c r="N96" s="4"/>
      <c r="O96" s="4"/>
      <c r="P96" s="4"/>
    </row>
    <row r="97" spans="1:19" ht="24.95" customHeight="1" thickTop="1" thickBot="1">
      <c r="A97" s="9"/>
      <c r="B97" s="32"/>
      <c r="C97" s="33">
        <v>5</v>
      </c>
      <c r="D97" s="32"/>
      <c r="E97" s="34" t="s">
        <v>152</v>
      </c>
      <c r="F97" s="35" t="s">
        <v>44</v>
      </c>
      <c r="G97" s="36">
        <f>I64+I67+I70+I73+I76+I79+I82+I85+I88+I91+I94</f>
        <v>0</v>
      </c>
      <c r="H97" s="43" t="s">
        <v>45</v>
      </c>
      <c r="I97" s="37">
        <f>IF(COUNT(J64:J97)&gt;0,AVERAGE(J64:J97),0.21)</f>
        <v>0.21</v>
      </c>
      <c r="J97" s="43" t="s">
        <v>46</v>
      </c>
      <c r="K97" s="36">
        <f>ROUND(Q97*(1+I97),2)+R97</f>
        <v>0</v>
      </c>
      <c r="L97" s="10"/>
      <c r="M97" s="4"/>
      <c r="N97" s="4"/>
      <c r="O97" s="4"/>
      <c r="P97" s="4"/>
      <c r="Q97" s="1">
        <f>0+Q64+Q67+Q70+Q73+Q76+Q79+Q82+Q85+Q88+Q91+Q94</f>
        <v>0</v>
      </c>
      <c r="R97" s="1">
        <f>0+R64+R67+R70+R73+R76+R79+R82+R85+R88+R91+R94</f>
        <v>0</v>
      </c>
      <c r="S97" s="2">
        <f>Q97*(1+I97)+R97</f>
        <v>0</v>
      </c>
    </row>
    <row r="98" spans="1:19" ht="39.950000000000003" customHeight="1">
      <c r="A98" s="9"/>
      <c r="B98" s="284" t="s">
        <v>162</v>
      </c>
      <c r="C98" s="276"/>
      <c r="D98" s="276"/>
      <c r="E98" s="285"/>
      <c r="F98" s="276"/>
      <c r="G98" s="276"/>
      <c r="H98" s="286"/>
      <c r="I98" s="276"/>
      <c r="J98" s="286"/>
      <c r="K98" s="276"/>
      <c r="L98" s="10"/>
      <c r="M98" s="4"/>
      <c r="N98" s="4"/>
      <c r="O98" s="4"/>
      <c r="P98" s="4"/>
    </row>
    <row r="99" spans="1:19">
      <c r="A99" s="9"/>
      <c r="B99" s="22">
        <v>21</v>
      </c>
      <c r="C99" s="23" t="s">
        <v>159</v>
      </c>
      <c r="D99" s="23" t="s">
        <v>25</v>
      </c>
      <c r="E99" s="23" t="s">
        <v>160</v>
      </c>
      <c r="F99" s="24" t="s">
        <v>52</v>
      </c>
      <c r="G99" s="25">
        <f>ROUND(1,3)</f>
        <v>1</v>
      </c>
      <c r="H99" s="40">
        <f>ROUND(0,2)</f>
        <v>0</v>
      </c>
      <c r="I99" s="26">
        <f>ROUND(H99*G99,2)</f>
        <v>0</v>
      </c>
      <c r="J99" s="45" t="s">
        <v>25</v>
      </c>
      <c r="K99" s="26">
        <f>IF(ISNUMBER(J99),ROUND(I99*(J99+1),2),0)</f>
        <v>0</v>
      </c>
      <c r="L99" s="10"/>
      <c r="M99" s="4"/>
      <c r="N99" s="4"/>
      <c r="O99" s="4"/>
      <c r="P99" s="4"/>
      <c r="Q99" s="1">
        <f>IF(ISNUMBER(J99),IF(G99&gt;0,IF(H99&gt;0,I99,0),0),0)</f>
        <v>0</v>
      </c>
      <c r="R99" s="1">
        <f>IF(ISNUMBER(J99)=FALSE,I99,0)</f>
        <v>0</v>
      </c>
    </row>
    <row r="100" spans="1:19">
      <c r="A100" s="9"/>
      <c r="B100" s="283" t="s">
        <v>27</v>
      </c>
      <c r="C100" s="276"/>
      <c r="D100" s="276"/>
      <c r="E100" s="27" t="s">
        <v>161</v>
      </c>
      <c r="F100" s="3"/>
      <c r="G100" s="3"/>
      <c r="H100" s="39"/>
      <c r="I100" s="3"/>
      <c r="J100" s="39"/>
      <c r="K100" s="3"/>
      <c r="L100" s="10"/>
      <c r="M100" s="4"/>
      <c r="N100" s="4"/>
      <c r="O100" s="4"/>
      <c r="P100" s="4"/>
    </row>
    <row r="101" spans="1:19" ht="13.5" thickBot="1">
      <c r="A101" s="9"/>
      <c r="B101" s="281" t="s">
        <v>28</v>
      </c>
      <c r="C101" s="282"/>
      <c r="D101" s="282"/>
      <c r="E101" s="29" t="s">
        <v>25</v>
      </c>
      <c r="F101" s="28"/>
      <c r="G101" s="28"/>
      <c r="H101" s="41"/>
      <c r="I101" s="28"/>
      <c r="J101" s="41"/>
      <c r="K101" s="28"/>
      <c r="L101" s="10"/>
      <c r="M101" s="4"/>
      <c r="N101" s="4"/>
      <c r="O101" s="4"/>
      <c r="P101" s="4"/>
    </row>
    <row r="102" spans="1:19" ht="24.95" customHeight="1" thickTop="1" thickBot="1">
      <c r="A102" s="9"/>
      <c r="B102" s="32"/>
      <c r="C102" s="33">
        <v>8</v>
      </c>
      <c r="D102" s="32"/>
      <c r="E102" s="34" t="s">
        <v>163</v>
      </c>
      <c r="F102" s="35" t="s">
        <v>44</v>
      </c>
      <c r="G102" s="36">
        <f>0+I99</f>
        <v>0</v>
      </c>
      <c r="H102" s="43" t="s">
        <v>45</v>
      </c>
      <c r="I102" s="37">
        <f>IF(COUNT(J99:J102)&gt;0,AVERAGE(J99:J102),0.21)</f>
        <v>0.21</v>
      </c>
      <c r="J102" s="43" t="s">
        <v>46</v>
      </c>
      <c r="K102" s="36">
        <f>ROUND(Q102*(1+I102),2)+R102</f>
        <v>0</v>
      </c>
      <c r="L102" s="10"/>
      <c r="M102" s="4"/>
      <c r="N102" s="4"/>
      <c r="O102" s="4"/>
      <c r="P102" s="4"/>
      <c r="Q102" s="1">
        <f>0+Q99</f>
        <v>0</v>
      </c>
      <c r="R102" s="1">
        <f>0+R99</f>
        <v>0</v>
      </c>
      <c r="S102" s="2">
        <f>Q102*(1+I102)+R102</f>
        <v>0</v>
      </c>
    </row>
    <row r="103" spans="1:19" ht="39.950000000000003" customHeight="1">
      <c r="A103" s="9"/>
      <c r="B103" s="284" t="s">
        <v>86</v>
      </c>
      <c r="C103" s="276"/>
      <c r="D103" s="276"/>
      <c r="E103" s="285"/>
      <c r="F103" s="276"/>
      <c r="G103" s="276"/>
      <c r="H103" s="286"/>
      <c r="I103" s="276"/>
      <c r="J103" s="286"/>
      <c r="K103" s="276"/>
      <c r="L103" s="10"/>
      <c r="M103" s="4"/>
      <c r="N103" s="4"/>
      <c r="O103" s="4"/>
      <c r="P103" s="4"/>
    </row>
    <row r="104" spans="1:19">
      <c r="A104" s="9"/>
      <c r="B104" s="22">
        <v>22</v>
      </c>
      <c r="C104" s="23" t="s">
        <v>164</v>
      </c>
      <c r="D104" s="23" t="s">
        <v>25</v>
      </c>
      <c r="E104" s="23" t="s">
        <v>165</v>
      </c>
      <c r="F104" s="24" t="s">
        <v>64</v>
      </c>
      <c r="G104" s="25">
        <f>ROUND(26,3)</f>
        <v>26</v>
      </c>
      <c r="H104" s="40">
        <f>ROUND(0,2)</f>
        <v>0</v>
      </c>
      <c r="I104" s="26">
        <f>ROUND(H104*G104,2)</f>
        <v>0</v>
      </c>
      <c r="J104" s="45" t="s">
        <v>25</v>
      </c>
      <c r="K104" s="26">
        <f>IF(ISNUMBER(J104),ROUND(I104*(J104+1),2),0)</f>
        <v>0</v>
      </c>
      <c r="L104" s="10"/>
      <c r="M104" s="4"/>
      <c r="N104" s="4"/>
      <c r="O104" s="4"/>
      <c r="P104" s="4"/>
      <c r="Q104" s="1">
        <f>IF(ISNUMBER(J104),IF(G104&gt;0,IF(H104&gt;0,I104,0),0),0)</f>
        <v>0</v>
      </c>
      <c r="R104" s="1">
        <f>IF(ISNUMBER(J104)=FALSE,I104,0)</f>
        <v>0</v>
      </c>
    </row>
    <row r="105" spans="1:19" ht="25.5">
      <c r="A105" s="9"/>
      <c r="B105" s="283" t="s">
        <v>27</v>
      </c>
      <c r="C105" s="276"/>
      <c r="D105" s="276"/>
      <c r="E105" s="27" t="s">
        <v>166</v>
      </c>
      <c r="F105" s="3"/>
      <c r="G105" s="3"/>
      <c r="H105" s="39"/>
      <c r="I105" s="3"/>
      <c r="J105" s="39"/>
      <c r="K105" s="3"/>
      <c r="L105" s="10"/>
      <c r="M105" s="4"/>
      <c r="N105" s="4"/>
      <c r="O105" s="4"/>
      <c r="P105" s="4"/>
    </row>
    <row r="106" spans="1:19" ht="13.5" thickBot="1">
      <c r="A106" s="9"/>
      <c r="B106" s="281" t="s">
        <v>28</v>
      </c>
      <c r="C106" s="282"/>
      <c r="D106" s="282"/>
      <c r="E106" s="29" t="s">
        <v>25</v>
      </c>
      <c r="F106" s="28"/>
      <c r="G106" s="28"/>
      <c r="H106" s="41"/>
      <c r="I106" s="28"/>
      <c r="J106" s="41"/>
      <c r="K106" s="28"/>
      <c r="L106" s="10"/>
      <c r="M106" s="4"/>
      <c r="N106" s="4"/>
      <c r="O106" s="4"/>
      <c r="P106" s="4"/>
    </row>
    <row r="107" spans="1:19" ht="13.5" thickTop="1">
      <c r="A107" s="9"/>
      <c r="B107" s="22">
        <v>23</v>
      </c>
      <c r="C107" s="23" t="s">
        <v>167</v>
      </c>
      <c r="D107" s="23" t="s">
        <v>25</v>
      </c>
      <c r="E107" s="23" t="s">
        <v>168</v>
      </c>
      <c r="F107" s="24" t="s">
        <v>64</v>
      </c>
      <c r="G107" s="30">
        <f>ROUND(45,3)</f>
        <v>45</v>
      </c>
      <c r="H107" s="42">
        <f>ROUND(0,2)</f>
        <v>0</v>
      </c>
      <c r="I107" s="31">
        <f>ROUND(H107*G107,2)</f>
        <v>0</v>
      </c>
      <c r="J107" s="46" t="s">
        <v>25</v>
      </c>
      <c r="K107" s="31">
        <f>IF(ISNUMBER(J107),ROUND(I107*(J107+1),2),0)</f>
        <v>0</v>
      </c>
      <c r="L107" s="10"/>
      <c r="M107" s="4"/>
      <c r="N107" s="4"/>
      <c r="O107" s="4"/>
      <c r="P107" s="4"/>
      <c r="Q107" s="1">
        <f>IF(ISNUMBER(J107),IF(G107&gt;0,IF(H107&gt;0,I107,0),0),0)</f>
        <v>0</v>
      </c>
      <c r="R107" s="1">
        <f>IF(ISNUMBER(J107)=FALSE,I107,0)</f>
        <v>0</v>
      </c>
    </row>
    <row r="108" spans="1:19">
      <c r="A108" s="9"/>
      <c r="B108" s="283" t="s">
        <v>27</v>
      </c>
      <c r="C108" s="276"/>
      <c r="D108" s="276"/>
      <c r="E108" s="27" t="s">
        <v>169</v>
      </c>
      <c r="F108" s="3"/>
      <c r="G108" s="3"/>
      <c r="H108" s="39"/>
      <c r="I108" s="3"/>
      <c r="J108" s="39"/>
      <c r="K108" s="3"/>
      <c r="L108" s="10"/>
      <c r="M108" s="4"/>
      <c r="N108" s="4"/>
      <c r="O108" s="4"/>
      <c r="P108" s="4"/>
    </row>
    <row r="109" spans="1:19" ht="51.75" thickBot="1">
      <c r="A109" s="9"/>
      <c r="B109" s="281" t="s">
        <v>28</v>
      </c>
      <c r="C109" s="282"/>
      <c r="D109" s="282"/>
      <c r="E109" s="29" t="s">
        <v>187</v>
      </c>
      <c r="F109" s="28"/>
      <c r="G109" s="28"/>
      <c r="H109" s="41"/>
      <c r="I109" s="28"/>
      <c r="J109" s="41"/>
      <c r="K109" s="28"/>
      <c r="L109" s="10"/>
      <c r="M109" s="4"/>
      <c r="N109" s="4"/>
      <c r="O109" s="4"/>
      <c r="P109" s="4"/>
    </row>
    <row r="110" spans="1:19" ht="13.5" thickTop="1">
      <c r="A110" s="9"/>
      <c r="B110" s="22">
        <v>24</v>
      </c>
      <c r="C110" s="23" t="s">
        <v>171</v>
      </c>
      <c r="D110" s="23" t="s">
        <v>25</v>
      </c>
      <c r="E110" s="23" t="s">
        <v>172</v>
      </c>
      <c r="F110" s="24" t="s">
        <v>64</v>
      </c>
      <c r="G110" s="30">
        <f>ROUND(3.5,3)</f>
        <v>3.5</v>
      </c>
      <c r="H110" s="42">
        <f>ROUND(0,2)</f>
        <v>0</v>
      </c>
      <c r="I110" s="31">
        <f>ROUND(H110*G110,2)</f>
        <v>0</v>
      </c>
      <c r="J110" s="46" t="s">
        <v>25</v>
      </c>
      <c r="K110" s="31">
        <f>IF(ISNUMBER(J110),ROUND(I110*(J110+1),2),0)</f>
        <v>0</v>
      </c>
      <c r="L110" s="10"/>
      <c r="M110" s="4"/>
      <c r="N110" s="4"/>
      <c r="O110" s="4"/>
      <c r="P110" s="4"/>
      <c r="Q110" s="1">
        <f>IF(ISNUMBER(J110),IF(G110&gt;0,IF(H110&gt;0,I110,0),0),0)</f>
        <v>0</v>
      </c>
      <c r="R110" s="1">
        <f>IF(ISNUMBER(J110)=FALSE,I110,0)</f>
        <v>0</v>
      </c>
    </row>
    <row r="111" spans="1:19">
      <c r="A111" s="9"/>
      <c r="B111" s="283" t="s">
        <v>27</v>
      </c>
      <c r="C111" s="276"/>
      <c r="D111" s="276"/>
      <c r="E111" s="27" t="s">
        <v>25</v>
      </c>
      <c r="F111" s="3"/>
      <c r="G111" s="3"/>
      <c r="H111" s="39"/>
      <c r="I111" s="3"/>
      <c r="J111" s="39"/>
      <c r="K111" s="3"/>
      <c r="L111" s="10"/>
      <c r="M111" s="4"/>
      <c r="N111" s="4"/>
      <c r="O111" s="4"/>
      <c r="P111" s="4"/>
    </row>
    <row r="112" spans="1:19" ht="13.5" thickBot="1">
      <c r="A112" s="9"/>
      <c r="B112" s="281" t="s">
        <v>28</v>
      </c>
      <c r="C112" s="282"/>
      <c r="D112" s="282"/>
      <c r="E112" s="29" t="s">
        <v>25</v>
      </c>
      <c r="F112" s="28"/>
      <c r="G112" s="28"/>
      <c r="H112" s="41"/>
      <c r="I112" s="28"/>
      <c r="J112" s="41"/>
      <c r="K112" s="28"/>
      <c r="L112" s="10"/>
      <c r="M112" s="4"/>
      <c r="N112" s="4"/>
      <c r="O112" s="4"/>
      <c r="P112" s="4"/>
    </row>
    <row r="113" spans="1:19" ht="24.95" customHeight="1" thickTop="1" thickBot="1">
      <c r="A113" s="9"/>
      <c r="B113" s="32"/>
      <c r="C113" s="33">
        <v>9</v>
      </c>
      <c r="D113" s="32"/>
      <c r="E113" s="34" t="s">
        <v>87</v>
      </c>
      <c r="F113" s="35" t="s">
        <v>44</v>
      </c>
      <c r="G113" s="36">
        <f>I104+I107+I110</f>
        <v>0</v>
      </c>
      <c r="H113" s="43" t="s">
        <v>45</v>
      </c>
      <c r="I113" s="37">
        <f>IF(COUNT(J104:J113)&gt;0,AVERAGE(J104:J113),0.21)</f>
        <v>0.21</v>
      </c>
      <c r="J113" s="43" t="s">
        <v>46</v>
      </c>
      <c r="K113" s="36">
        <f>ROUND(Q113*(1+I113),2)+R113</f>
        <v>0</v>
      </c>
      <c r="L113" s="10"/>
      <c r="M113" s="4"/>
      <c r="N113" s="4"/>
      <c r="O113" s="4"/>
      <c r="P113" s="4"/>
      <c r="Q113" s="1">
        <f>0+Q104+Q107+Q110</f>
        <v>0</v>
      </c>
      <c r="R113" s="1">
        <f>0+R104+R107+R110</f>
        <v>0</v>
      </c>
      <c r="S113" s="2">
        <f>Q113*(1+I113)+R113</f>
        <v>0</v>
      </c>
    </row>
    <row r="114" spans="1:19">
      <c r="A114" s="11"/>
      <c r="B114" s="5"/>
      <c r="C114" s="5"/>
      <c r="D114" s="5"/>
      <c r="E114" s="38"/>
      <c r="F114" s="5"/>
      <c r="G114" s="5"/>
      <c r="H114" s="44"/>
      <c r="I114" s="5"/>
      <c r="J114" s="44"/>
      <c r="K114" s="5"/>
      <c r="L114" s="12"/>
      <c r="M114" s="4"/>
      <c r="N114" s="4"/>
      <c r="O114" s="4"/>
      <c r="P114" s="4"/>
    </row>
  </sheetData>
  <autoFilter ref="A1:S1" xr:uid="{00000000-0009-0000-0000-000005000000}">
    <filterColumn colId="3" showButton="0"/>
  </autoFilter>
  <mergeCells count="74">
    <mergeCell ref="A1:A2"/>
    <mergeCell ref="A3:F3"/>
    <mergeCell ref="B4:C5"/>
    <mergeCell ref="B6:I6"/>
    <mergeCell ref="D1:E2"/>
    <mergeCell ref="B8:C9"/>
    <mergeCell ref="A10:D10"/>
    <mergeCell ref="A11:G11"/>
    <mergeCell ref="A12:G12"/>
    <mergeCell ref="A13:G13"/>
    <mergeCell ref="B20:D20"/>
    <mergeCell ref="B17:C18"/>
    <mergeCell ref="B19:D19"/>
    <mergeCell ref="E19:F19"/>
    <mergeCell ref="B27:C28"/>
    <mergeCell ref="B21:D21"/>
    <mergeCell ref="B46:D46"/>
    <mergeCell ref="B33:D33"/>
    <mergeCell ref="B35:D35"/>
    <mergeCell ref="B36:D36"/>
    <mergeCell ref="B30:K30"/>
    <mergeCell ref="B32:D32"/>
    <mergeCell ref="B40:D40"/>
    <mergeCell ref="B41:D41"/>
    <mergeCell ref="B43:D43"/>
    <mergeCell ref="B44:D44"/>
    <mergeCell ref="B61:D61"/>
    <mergeCell ref="B52:K52"/>
    <mergeCell ref="B22:D22"/>
    <mergeCell ref="B65:D65"/>
    <mergeCell ref="B66:D66"/>
    <mergeCell ref="B63:K63"/>
    <mergeCell ref="B23:D23"/>
    <mergeCell ref="B54:D54"/>
    <mergeCell ref="B55:D55"/>
    <mergeCell ref="B57:D57"/>
    <mergeCell ref="B58:D58"/>
    <mergeCell ref="B60:D60"/>
    <mergeCell ref="B47:D47"/>
    <mergeCell ref="B49:D49"/>
    <mergeCell ref="B50:D50"/>
    <mergeCell ref="B38:K38"/>
    <mergeCell ref="B68:D68"/>
    <mergeCell ref="B69:D69"/>
    <mergeCell ref="B71:D71"/>
    <mergeCell ref="B72:D72"/>
    <mergeCell ref="B74:D74"/>
    <mergeCell ref="B89:D89"/>
    <mergeCell ref="B75:D75"/>
    <mergeCell ref="B77:D77"/>
    <mergeCell ref="B78:D78"/>
    <mergeCell ref="B80:D80"/>
    <mergeCell ref="B81:D81"/>
    <mergeCell ref="B100:D100"/>
    <mergeCell ref="B101:D101"/>
    <mergeCell ref="B98:K98"/>
    <mergeCell ref="B24:D24"/>
    <mergeCell ref="B105:D105"/>
    <mergeCell ref="B103:K103"/>
    <mergeCell ref="B25:D25"/>
    <mergeCell ref="B90:D90"/>
    <mergeCell ref="B92:D92"/>
    <mergeCell ref="B93:D93"/>
    <mergeCell ref="B95:D95"/>
    <mergeCell ref="B96:D96"/>
    <mergeCell ref="B83:D83"/>
    <mergeCell ref="B84:D84"/>
    <mergeCell ref="B86:D86"/>
    <mergeCell ref="B87:D87"/>
    <mergeCell ref="B106:D106"/>
    <mergeCell ref="B108:D108"/>
    <mergeCell ref="B109:D109"/>
    <mergeCell ref="B111:D111"/>
    <mergeCell ref="B112:D112"/>
  </mergeCells>
  <pageMargins left="0.39370078740157499" right="0.39370078740157499" top="0.59055118110236204" bottom="0.39370078740157499" header="0.196850393700787" footer="0.15748031496063"/>
  <pageSetup paperSize="9" fitToHeight="0" orientation="portrait"/>
  <headerFooter>
    <oddFooter>&amp;CLÁVKA PŘES LABE V NYMBURKU | Úprava zpevněných ploch na levém břehu Labe&amp;R&amp;P/&amp;N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5 - SO153NN_cm">
    <tabColor theme="5" tint="0.39997558519241921"/>
    <pageSetUpPr fitToPage="1"/>
  </sheetPr>
  <dimension ref="A1:S54"/>
  <sheetViews>
    <sheetView workbookViewId="0">
      <selection sqref="A1:A2"/>
    </sheetView>
  </sheetViews>
  <sheetFormatPr defaultRowHeight="12.75"/>
  <cols>
    <col min="1" max="1" width="4.7109375"/>
    <col min="2" max="2" width="5.7109375"/>
    <col min="3" max="3" width="11.7109375"/>
    <col min="4" max="4" width="5.7109375"/>
    <col min="5" max="5" width="80.7109375"/>
    <col min="6" max="6" width="20.7109375"/>
    <col min="7" max="11" width="22.7109375"/>
    <col min="12" max="12" width="4.7109375"/>
    <col min="17" max="19" width="0" hidden="1"/>
  </cols>
  <sheetData>
    <row r="1" spans="1:19">
      <c r="A1" s="276"/>
      <c r="B1" s="3"/>
      <c r="C1" s="3"/>
      <c r="D1" s="280" t="s">
        <v>0</v>
      </c>
      <c r="E1" s="276"/>
      <c r="F1" s="3"/>
      <c r="G1" s="3"/>
      <c r="H1" s="3"/>
      <c r="I1" s="3"/>
      <c r="J1" s="3"/>
      <c r="K1" s="3"/>
      <c r="L1" s="3"/>
      <c r="M1" s="4"/>
      <c r="N1" s="4"/>
      <c r="O1" s="4"/>
      <c r="P1" s="4"/>
    </row>
    <row r="2" spans="1:19">
      <c r="A2" s="276"/>
      <c r="B2" s="3"/>
      <c r="C2" s="3"/>
      <c r="D2" s="276"/>
      <c r="E2" s="276"/>
      <c r="F2" s="3"/>
      <c r="G2" s="3"/>
      <c r="H2" s="3"/>
      <c r="I2" s="3"/>
      <c r="J2" s="3"/>
      <c r="K2" s="3"/>
      <c r="L2" s="3"/>
      <c r="M2" s="4"/>
      <c r="N2" s="4"/>
      <c r="O2" s="4"/>
      <c r="P2" s="4"/>
    </row>
    <row r="3" spans="1:19" ht="24" customHeight="1">
      <c r="A3" s="278" t="s">
        <v>1</v>
      </c>
      <c r="B3" s="276"/>
      <c r="C3" s="276"/>
      <c r="D3" s="276"/>
      <c r="E3" s="276"/>
      <c r="F3" s="276"/>
      <c r="G3" s="3"/>
      <c r="H3" s="3"/>
      <c r="I3" s="3"/>
      <c r="J3" s="3"/>
      <c r="K3" s="3"/>
      <c r="L3" s="3"/>
      <c r="M3" s="4"/>
      <c r="N3" s="4"/>
      <c r="O3" s="4"/>
      <c r="P3" s="4"/>
    </row>
    <row r="4" spans="1:19" ht="6" customHeight="1">
      <c r="A4" s="5"/>
      <c r="B4" s="289" t="s">
        <v>2</v>
      </c>
      <c r="C4" s="290"/>
      <c r="D4" s="5"/>
      <c r="E4" s="5"/>
      <c r="F4" s="5"/>
      <c r="G4" s="5"/>
      <c r="H4" s="5"/>
      <c r="I4" s="5"/>
      <c r="J4" s="5"/>
      <c r="K4" s="5"/>
      <c r="L4" s="5"/>
      <c r="M4" s="4"/>
      <c r="N4" s="4"/>
      <c r="O4" s="4"/>
      <c r="P4" s="4"/>
    </row>
    <row r="5" spans="1:19" ht="6" customHeight="1">
      <c r="A5" s="6"/>
      <c r="B5" s="273"/>
      <c r="C5" s="273"/>
      <c r="D5" s="7"/>
      <c r="E5" s="7"/>
      <c r="F5" s="7"/>
      <c r="G5" s="7"/>
      <c r="H5" s="7"/>
      <c r="I5" s="7"/>
      <c r="J5" s="7"/>
      <c r="K5" s="7"/>
      <c r="L5" s="8"/>
      <c r="M5" s="4"/>
      <c r="N5" s="4"/>
      <c r="O5" s="4"/>
      <c r="P5" s="4"/>
    </row>
    <row r="6" spans="1:19" ht="33.950000000000003" customHeight="1">
      <c r="A6" s="9"/>
      <c r="B6" s="297" t="s">
        <v>3</v>
      </c>
      <c r="C6" s="276"/>
      <c r="D6" s="276"/>
      <c r="E6" s="276"/>
      <c r="F6" s="276"/>
      <c r="G6" s="276"/>
      <c r="H6" s="276"/>
      <c r="I6" s="276"/>
      <c r="J6" s="3"/>
      <c r="K6" s="3"/>
      <c r="L6" s="10"/>
      <c r="M6" s="4"/>
      <c r="N6" s="4"/>
      <c r="O6" s="4"/>
      <c r="P6" s="4"/>
    </row>
    <row r="7" spans="1:19">
      <c r="A7" s="11"/>
      <c r="B7" s="5"/>
      <c r="C7" s="5"/>
      <c r="D7" s="5"/>
      <c r="E7" s="5"/>
      <c r="F7" s="5"/>
      <c r="G7" s="5"/>
      <c r="H7" s="5"/>
      <c r="I7" s="5"/>
      <c r="J7" s="5"/>
      <c r="K7" s="5"/>
      <c r="L7" s="12"/>
      <c r="M7" s="4"/>
      <c r="N7" s="4"/>
      <c r="O7" s="4"/>
      <c r="P7" s="4"/>
    </row>
    <row r="8" spans="1:19" ht="14.1" customHeight="1">
      <c r="A8" s="5"/>
      <c r="B8" s="293" t="s">
        <v>4</v>
      </c>
      <c r="C8" s="290"/>
      <c r="D8" s="5"/>
      <c r="E8" s="5"/>
      <c r="F8" s="5"/>
      <c r="G8" s="5"/>
      <c r="H8" s="5"/>
      <c r="I8" s="5"/>
      <c r="J8" s="5"/>
      <c r="K8" s="5"/>
      <c r="L8" s="5"/>
      <c r="M8" s="4"/>
      <c r="N8" s="4"/>
      <c r="O8" s="4"/>
      <c r="P8" s="4"/>
    </row>
    <row r="9" spans="1:19" ht="8.1" customHeight="1">
      <c r="A9" s="6"/>
      <c r="B9" s="273"/>
      <c r="C9" s="273"/>
      <c r="D9" s="7"/>
      <c r="E9" s="7"/>
      <c r="F9" s="7"/>
      <c r="G9" s="7"/>
      <c r="H9" s="7"/>
      <c r="I9" s="7"/>
      <c r="J9" s="7"/>
      <c r="K9" s="7"/>
      <c r="L9" s="8"/>
      <c r="M9" s="4"/>
      <c r="N9" s="4"/>
      <c r="O9" s="4"/>
      <c r="P9" s="4"/>
    </row>
    <row r="10" spans="1:19">
      <c r="A10" s="275" t="s">
        <v>5</v>
      </c>
      <c r="B10" s="276"/>
      <c r="C10" s="294"/>
      <c r="D10" s="276"/>
      <c r="E10" s="3"/>
      <c r="F10" s="14"/>
      <c r="G10" s="3"/>
      <c r="H10" s="15" t="s">
        <v>88</v>
      </c>
      <c r="I10" s="16">
        <f>G36+G53</f>
        <v>0</v>
      </c>
      <c r="J10" s="3"/>
      <c r="K10" s="3"/>
      <c r="L10" s="10"/>
      <c r="M10" s="4"/>
      <c r="N10" s="4"/>
      <c r="O10" s="4"/>
      <c r="P10" s="4"/>
    </row>
    <row r="11" spans="1:19" ht="15.95" customHeight="1">
      <c r="A11" s="277" t="s">
        <v>188</v>
      </c>
      <c r="B11" s="276"/>
      <c r="C11" s="276"/>
      <c r="D11" s="276"/>
      <c r="E11" s="276"/>
      <c r="F11" s="295"/>
      <c r="G11" s="276"/>
      <c r="H11" s="15" t="s">
        <v>89</v>
      </c>
      <c r="I11" s="16">
        <f>ROUND(I10*(1+Q11),2)</f>
        <v>0</v>
      </c>
      <c r="J11" s="3"/>
      <c r="K11" s="3"/>
      <c r="L11" s="10"/>
      <c r="M11" s="4"/>
      <c r="N11" s="4"/>
      <c r="O11" s="4"/>
      <c r="P11" s="4"/>
      <c r="Q11" s="1">
        <f>IF(SUM(J20:J21)&gt;0,ROUND(SUM(S20:S21)/SUM(J20:J21)-1,8),0)</f>
        <v>0</v>
      </c>
      <c r="R11" s="1">
        <f>AVERAGE(I36,I53)</f>
        <v>0.21</v>
      </c>
      <c r="S11" s="1">
        <f>I10*(1+Q11)</f>
        <v>0</v>
      </c>
    </row>
    <row r="12" spans="1:19">
      <c r="A12" s="275" t="s">
        <v>7</v>
      </c>
      <c r="B12" s="276"/>
      <c r="C12" s="294"/>
      <c r="D12" s="276"/>
      <c r="E12" s="276"/>
      <c r="F12" s="296"/>
      <c r="G12" s="276"/>
      <c r="H12" s="3"/>
      <c r="I12" s="3"/>
      <c r="J12" s="3"/>
      <c r="K12" s="3"/>
      <c r="L12" s="10"/>
      <c r="M12" s="4"/>
      <c r="N12" s="4"/>
      <c r="O12" s="4"/>
      <c r="P12" s="4"/>
    </row>
    <row r="13" spans="1:19" ht="15.95" customHeight="1">
      <c r="A13" s="277">
        <f>Souhrn!A13</f>
        <v>0</v>
      </c>
      <c r="B13" s="276"/>
      <c r="C13" s="276"/>
      <c r="D13" s="276"/>
      <c r="E13" s="276"/>
      <c r="F13" s="295"/>
      <c r="G13" s="276"/>
      <c r="H13" s="15" t="s">
        <v>8</v>
      </c>
      <c r="I13" s="13">
        <f>Souhrn!E13</f>
        <v>0</v>
      </c>
      <c r="J13" s="3"/>
      <c r="K13" s="3"/>
      <c r="L13" s="10"/>
      <c r="M13" s="4"/>
      <c r="N13" s="4"/>
      <c r="O13" s="4"/>
      <c r="P13" s="4"/>
    </row>
    <row r="14" spans="1:19">
      <c r="A14" s="9"/>
      <c r="B14" s="3"/>
      <c r="C14" s="3"/>
      <c r="D14" s="3"/>
      <c r="E14" s="3"/>
      <c r="F14" s="3"/>
      <c r="G14" s="3"/>
      <c r="H14" s="15" t="s">
        <v>9</v>
      </c>
      <c r="I14" s="13">
        <f>Souhrn!E14</f>
        <v>0</v>
      </c>
      <c r="J14" s="3"/>
      <c r="K14" s="3"/>
      <c r="L14" s="10"/>
      <c r="M14" s="4"/>
      <c r="N14" s="4"/>
      <c r="O14" s="4"/>
      <c r="P14" s="4"/>
    </row>
    <row r="15" spans="1:19" hidden="1">
      <c r="A15" s="9"/>
      <c r="B15" s="3"/>
      <c r="C15" s="3"/>
      <c r="D15" s="3"/>
      <c r="E15" s="3"/>
      <c r="F15" s="3"/>
      <c r="G15" s="3"/>
      <c r="H15" s="3"/>
      <c r="I15" s="3"/>
      <c r="J15" s="3"/>
      <c r="K15" s="3"/>
      <c r="L15" s="10"/>
      <c r="M15" s="4"/>
      <c r="N15" s="4"/>
      <c r="O15" s="4"/>
      <c r="P15" s="4"/>
    </row>
    <row r="16" spans="1:19" ht="9.9499999999999993" customHeight="1">
      <c r="A16" s="11"/>
      <c r="B16" s="5"/>
      <c r="C16" s="5"/>
      <c r="D16" s="5"/>
      <c r="E16" s="5"/>
      <c r="F16" s="5"/>
      <c r="G16" s="5"/>
      <c r="H16" s="5"/>
      <c r="I16" s="5"/>
      <c r="J16" s="5"/>
      <c r="K16" s="5"/>
      <c r="L16" s="12"/>
      <c r="M16" s="4"/>
      <c r="N16" s="4"/>
      <c r="O16" s="4"/>
      <c r="P16" s="4"/>
    </row>
    <row r="17" spans="1:19" ht="14.1" customHeight="1">
      <c r="A17" s="5"/>
      <c r="B17" s="289" t="s">
        <v>10</v>
      </c>
      <c r="C17" s="290"/>
      <c r="D17" s="5"/>
      <c r="E17" s="5"/>
      <c r="F17" s="5"/>
      <c r="G17" s="5"/>
      <c r="H17" s="5"/>
      <c r="I17" s="5"/>
      <c r="J17" s="5"/>
      <c r="K17" s="5"/>
      <c r="L17" s="5"/>
      <c r="M17" s="4"/>
      <c r="N17" s="4"/>
      <c r="O17" s="4"/>
      <c r="P17" s="4"/>
    </row>
    <row r="18" spans="1:19" ht="6" customHeight="1">
      <c r="A18" s="6"/>
      <c r="B18" s="273"/>
      <c r="C18" s="273"/>
      <c r="D18" s="7"/>
      <c r="E18" s="7"/>
      <c r="F18" s="7"/>
      <c r="G18" s="7"/>
      <c r="H18" s="7"/>
      <c r="I18" s="7"/>
      <c r="J18" s="7"/>
      <c r="K18" s="7"/>
      <c r="L18" s="8"/>
      <c r="M18" s="4"/>
      <c r="N18" s="4"/>
      <c r="O18" s="4"/>
      <c r="P18" s="4"/>
    </row>
    <row r="19" spans="1:19" ht="18" customHeight="1">
      <c r="A19" s="9"/>
      <c r="B19" s="291" t="s">
        <v>11</v>
      </c>
      <c r="C19" s="291"/>
      <c r="D19" s="291"/>
      <c r="E19" s="291" t="s">
        <v>12</v>
      </c>
      <c r="F19" s="292"/>
      <c r="G19" s="19"/>
      <c r="H19" s="19"/>
      <c r="I19" s="19"/>
      <c r="J19" s="19" t="s">
        <v>13</v>
      </c>
      <c r="K19" s="19" t="s">
        <v>14</v>
      </c>
      <c r="L19" s="10"/>
      <c r="M19" s="4"/>
      <c r="N19" s="4"/>
      <c r="O19" s="4"/>
      <c r="P19" s="4"/>
    </row>
    <row r="20" spans="1:19">
      <c r="A20" s="9"/>
      <c r="B20" s="287">
        <v>1</v>
      </c>
      <c r="C20" s="276"/>
      <c r="D20" s="276"/>
      <c r="E20" s="20" t="s">
        <v>72</v>
      </c>
      <c r="F20" s="3"/>
      <c r="G20" s="3"/>
      <c r="H20" s="3"/>
      <c r="I20" s="3"/>
      <c r="J20" s="21">
        <f>G36</f>
        <v>0</v>
      </c>
      <c r="K20" s="21">
        <f>K36</f>
        <v>0</v>
      </c>
      <c r="L20" s="10"/>
      <c r="M20" s="4"/>
      <c r="N20" s="4"/>
      <c r="O20" s="4"/>
      <c r="P20" s="4"/>
      <c r="S20" s="1">
        <f>S36</f>
        <v>0</v>
      </c>
    </row>
    <row r="21" spans="1:19">
      <c r="A21" s="9"/>
      <c r="B21" s="287">
        <v>9</v>
      </c>
      <c r="C21" s="276"/>
      <c r="D21" s="276"/>
      <c r="E21" s="20" t="s">
        <v>87</v>
      </c>
      <c r="F21" s="3"/>
      <c r="G21" s="3"/>
      <c r="H21" s="3"/>
      <c r="I21" s="3"/>
      <c r="J21" s="21">
        <f>G53</f>
        <v>0</v>
      </c>
      <c r="K21" s="21">
        <f>K53</f>
        <v>0</v>
      </c>
      <c r="L21" s="10"/>
      <c r="M21" s="4"/>
      <c r="N21" s="4"/>
      <c r="O21" s="4"/>
      <c r="P21" s="4"/>
      <c r="S21" s="1">
        <f>S53</f>
        <v>0</v>
      </c>
    </row>
    <row r="22" spans="1:19">
      <c r="A22" s="11"/>
      <c r="B22" s="5"/>
      <c r="C22" s="5"/>
      <c r="D22" s="5"/>
      <c r="E22" s="5"/>
      <c r="F22" s="5"/>
      <c r="G22" s="5"/>
      <c r="H22" s="5"/>
      <c r="I22" s="5"/>
      <c r="J22" s="5"/>
      <c r="K22" s="5"/>
      <c r="L22" s="12"/>
      <c r="M22" s="4"/>
      <c r="N22" s="4"/>
      <c r="O22" s="4"/>
      <c r="P22" s="4"/>
    </row>
    <row r="23" spans="1:19" ht="14.1" customHeight="1">
      <c r="A23" s="5"/>
      <c r="B23" s="289" t="s">
        <v>15</v>
      </c>
      <c r="C23" s="290"/>
      <c r="D23" s="5"/>
      <c r="E23" s="5"/>
      <c r="F23" s="5"/>
      <c r="G23" s="5"/>
      <c r="H23" s="5"/>
      <c r="I23" s="5"/>
      <c r="J23" s="5"/>
      <c r="K23" s="5"/>
      <c r="L23" s="5"/>
      <c r="M23" s="4"/>
      <c r="N23" s="4"/>
      <c r="O23" s="4"/>
      <c r="P23" s="4"/>
    </row>
    <row r="24" spans="1:19" ht="18" customHeight="1">
      <c r="A24" s="6"/>
      <c r="B24" s="273"/>
      <c r="C24" s="273"/>
      <c r="D24" s="7"/>
      <c r="E24" s="7"/>
      <c r="F24" s="7"/>
      <c r="G24" s="7"/>
      <c r="H24" s="7"/>
      <c r="I24" s="7"/>
      <c r="J24" s="7"/>
      <c r="K24" s="7"/>
      <c r="L24" s="8"/>
      <c r="M24" s="4"/>
      <c r="N24" s="4"/>
      <c r="O24" s="4"/>
      <c r="P24" s="4"/>
    </row>
    <row r="25" spans="1:19" ht="18" customHeight="1">
      <c r="A25" s="9"/>
      <c r="B25" s="17" t="s">
        <v>16</v>
      </c>
      <c r="C25" s="17" t="s">
        <v>11</v>
      </c>
      <c r="D25" s="17" t="s">
        <v>17</v>
      </c>
      <c r="E25" s="17" t="s">
        <v>12</v>
      </c>
      <c r="F25" s="18" t="s">
        <v>18</v>
      </c>
      <c r="G25" s="19" t="s">
        <v>19</v>
      </c>
      <c r="H25" s="19" t="s">
        <v>20</v>
      </c>
      <c r="I25" s="19" t="s">
        <v>13</v>
      </c>
      <c r="J25" s="18" t="s">
        <v>21</v>
      </c>
      <c r="K25" s="19" t="s">
        <v>14</v>
      </c>
      <c r="L25" s="10"/>
      <c r="M25" s="4"/>
      <c r="N25" s="4"/>
      <c r="O25" s="4"/>
      <c r="P25" s="4"/>
    </row>
    <row r="26" spans="1:19" ht="39.950000000000003" customHeight="1">
      <c r="A26" s="9"/>
      <c r="B26" s="288" t="s">
        <v>71</v>
      </c>
      <c r="C26" s="276"/>
      <c r="D26" s="276"/>
      <c r="E26" s="276"/>
      <c r="F26" s="276"/>
      <c r="G26" s="276"/>
      <c r="H26" s="286"/>
      <c r="I26" s="276"/>
      <c r="J26" s="286"/>
      <c r="K26" s="276"/>
      <c r="L26" s="10"/>
      <c r="M26" s="4"/>
      <c r="N26" s="4"/>
      <c r="O26" s="4"/>
      <c r="P26" s="4"/>
    </row>
    <row r="27" spans="1:19">
      <c r="A27" s="9"/>
      <c r="B27" s="22">
        <v>1</v>
      </c>
      <c r="C27" s="23" t="s">
        <v>189</v>
      </c>
      <c r="D27" s="23" t="s">
        <v>92</v>
      </c>
      <c r="E27" s="23" t="s">
        <v>190</v>
      </c>
      <c r="F27" s="24" t="s">
        <v>49</v>
      </c>
      <c r="G27" s="25">
        <f>ROUND(11.5,3)</f>
        <v>11.5</v>
      </c>
      <c r="H27" s="40">
        <f>ROUND(0,2)</f>
        <v>0</v>
      </c>
      <c r="I27" s="26">
        <f>ROUND(H27*G27,2)</f>
        <v>0</v>
      </c>
      <c r="J27" s="45" t="s">
        <v>25</v>
      </c>
      <c r="K27" s="26">
        <f>IF(ISNUMBER(J27),ROUND(I27*(J27+1),2),0)</f>
        <v>0</v>
      </c>
      <c r="L27" s="10"/>
      <c r="M27" s="4"/>
      <c r="N27" s="4"/>
      <c r="O27" s="4"/>
      <c r="P27" s="4"/>
      <c r="Q27" s="1">
        <f>IF(ISNUMBER(J27),IF(G27&gt;0,IF(H27&gt;0,I27,0),0),0)</f>
        <v>0</v>
      </c>
      <c r="R27" s="1">
        <f>IF(ISNUMBER(J27)=FALSE,I27,0)</f>
        <v>0</v>
      </c>
    </row>
    <row r="28" spans="1:19">
      <c r="A28" s="9"/>
      <c r="B28" s="283" t="s">
        <v>27</v>
      </c>
      <c r="C28" s="276"/>
      <c r="D28" s="276"/>
      <c r="E28" s="27" t="s">
        <v>25</v>
      </c>
      <c r="F28" s="3"/>
      <c r="G28" s="3"/>
      <c r="H28" s="39"/>
      <c r="I28" s="3"/>
      <c r="J28" s="39"/>
      <c r="K28" s="3"/>
      <c r="L28" s="10"/>
      <c r="M28" s="4"/>
      <c r="N28" s="4"/>
      <c r="O28" s="4"/>
      <c r="P28" s="4"/>
    </row>
    <row r="29" spans="1:19" ht="13.5" thickBot="1">
      <c r="A29" s="9"/>
      <c r="B29" s="281" t="s">
        <v>28</v>
      </c>
      <c r="C29" s="282"/>
      <c r="D29" s="282"/>
      <c r="E29" s="29" t="s">
        <v>25</v>
      </c>
      <c r="F29" s="28"/>
      <c r="G29" s="28"/>
      <c r="H29" s="41"/>
      <c r="I29" s="28"/>
      <c r="J29" s="41"/>
      <c r="K29" s="28"/>
      <c r="L29" s="10"/>
      <c r="M29" s="4"/>
      <c r="N29" s="4"/>
      <c r="O29" s="4"/>
      <c r="P29" s="4"/>
    </row>
    <row r="30" spans="1:19" ht="13.5" thickTop="1">
      <c r="A30" s="9"/>
      <c r="B30" s="22">
        <v>2</v>
      </c>
      <c r="C30" s="23" t="s">
        <v>191</v>
      </c>
      <c r="D30" s="23" t="s">
        <v>92</v>
      </c>
      <c r="E30" s="23" t="s">
        <v>192</v>
      </c>
      <c r="F30" s="24" t="s">
        <v>49</v>
      </c>
      <c r="G30" s="30">
        <f>ROUND(11.5,3)</f>
        <v>11.5</v>
      </c>
      <c r="H30" s="42">
        <f>ROUND(0,2)</f>
        <v>0</v>
      </c>
      <c r="I30" s="31">
        <f>ROUND(H30*G30,2)</f>
        <v>0</v>
      </c>
      <c r="J30" s="46" t="s">
        <v>25</v>
      </c>
      <c r="K30" s="31">
        <f>IF(ISNUMBER(J30),ROUND(I30*(J30+1),2),0)</f>
        <v>0</v>
      </c>
      <c r="L30" s="10"/>
      <c r="M30" s="4"/>
      <c r="N30" s="4"/>
      <c r="O30" s="4"/>
      <c r="P30" s="4"/>
      <c r="Q30" s="1">
        <f>IF(ISNUMBER(J30),IF(G30&gt;0,IF(H30&gt;0,I30,0),0),0)</f>
        <v>0</v>
      </c>
      <c r="R30" s="1">
        <f>IF(ISNUMBER(J30)=FALSE,I30,0)</f>
        <v>0</v>
      </c>
    </row>
    <row r="31" spans="1:19">
      <c r="A31" s="9"/>
      <c r="B31" s="283" t="s">
        <v>27</v>
      </c>
      <c r="C31" s="276"/>
      <c r="D31" s="276"/>
      <c r="E31" s="27" t="s">
        <v>25</v>
      </c>
      <c r="F31" s="3"/>
      <c r="G31" s="3"/>
      <c r="H31" s="39"/>
      <c r="I31" s="3"/>
      <c r="J31" s="39"/>
      <c r="K31" s="3"/>
      <c r="L31" s="10"/>
      <c r="M31" s="4"/>
      <c r="N31" s="4"/>
      <c r="O31" s="4"/>
      <c r="P31" s="4"/>
    </row>
    <row r="32" spans="1:19" ht="13.5" thickBot="1">
      <c r="A32" s="9"/>
      <c r="B32" s="281" t="s">
        <v>28</v>
      </c>
      <c r="C32" s="282"/>
      <c r="D32" s="282"/>
      <c r="E32" s="29" t="s">
        <v>25</v>
      </c>
      <c r="F32" s="28"/>
      <c r="G32" s="28"/>
      <c r="H32" s="41"/>
      <c r="I32" s="28"/>
      <c r="J32" s="41"/>
      <c r="K32" s="28"/>
      <c r="L32" s="10"/>
      <c r="M32" s="4"/>
      <c r="N32" s="4"/>
      <c r="O32" s="4"/>
      <c r="P32" s="4"/>
    </row>
    <row r="33" spans="1:19" ht="13.5" thickTop="1">
      <c r="A33" s="9"/>
      <c r="B33" s="22">
        <v>3</v>
      </c>
      <c r="C33" s="23" t="s">
        <v>193</v>
      </c>
      <c r="D33" s="23" t="s">
        <v>92</v>
      </c>
      <c r="E33" s="23" t="s">
        <v>194</v>
      </c>
      <c r="F33" s="24" t="s">
        <v>49</v>
      </c>
      <c r="G33" s="30">
        <f>ROUND(11.5,3)</f>
        <v>11.5</v>
      </c>
      <c r="H33" s="42">
        <f>ROUND(0,2)</f>
        <v>0</v>
      </c>
      <c r="I33" s="31">
        <f>ROUND(H33*G33,2)</f>
        <v>0</v>
      </c>
      <c r="J33" s="46" t="s">
        <v>25</v>
      </c>
      <c r="K33" s="31">
        <f>IF(ISNUMBER(J33),ROUND(I33*(J33+1),2),0)</f>
        <v>0</v>
      </c>
      <c r="L33" s="10"/>
      <c r="M33" s="4"/>
      <c r="N33" s="4"/>
      <c r="O33" s="4"/>
      <c r="P33" s="4"/>
      <c r="Q33" s="1">
        <f>IF(ISNUMBER(J33),IF(G33&gt;0,IF(H33&gt;0,I33,0),0),0)</f>
        <v>0</v>
      </c>
      <c r="R33" s="1">
        <f>IF(ISNUMBER(J33)=FALSE,I33,0)</f>
        <v>0</v>
      </c>
    </row>
    <row r="34" spans="1:19">
      <c r="A34" s="9"/>
      <c r="B34" s="283" t="s">
        <v>27</v>
      </c>
      <c r="C34" s="276"/>
      <c r="D34" s="276"/>
      <c r="E34" s="27" t="s">
        <v>25</v>
      </c>
      <c r="F34" s="3"/>
      <c r="G34" s="3"/>
      <c r="H34" s="39"/>
      <c r="I34" s="3"/>
      <c r="J34" s="39"/>
      <c r="K34" s="3"/>
      <c r="L34" s="10"/>
      <c r="M34" s="4"/>
      <c r="N34" s="4"/>
      <c r="O34" s="4"/>
      <c r="P34" s="4"/>
    </row>
    <row r="35" spans="1:19" ht="13.5" thickBot="1">
      <c r="A35" s="9"/>
      <c r="B35" s="281" t="s">
        <v>28</v>
      </c>
      <c r="C35" s="282"/>
      <c r="D35" s="282"/>
      <c r="E35" s="29" t="s">
        <v>25</v>
      </c>
      <c r="F35" s="28"/>
      <c r="G35" s="28"/>
      <c r="H35" s="41"/>
      <c r="I35" s="28"/>
      <c r="J35" s="41"/>
      <c r="K35" s="28"/>
      <c r="L35" s="10"/>
      <c r="M35" s="4"/>
      <c r="N35" s="4"/>
      <c r="O35" s="4"/>
      <c r="P35" s="4"/>
    </row>
    <row r="36" spans="1:19" ht="24.95" customHeight="1" thickTop="1" thickBot="1">
      <c r="A36" s="9"/>
      <c r="B36" s="32"/>
      <c r="C36" s="33">
        <v>1</v>
      </c>
      <c r="D36" s="32"/>
      <c r="E36" s="34" t="s">
        <v>72</v>
      </c>
      <c r="F36" s="35" t="s">
        <v>44</v>
      </c>
      <c r="G36" s="36">
        <f>I27+I30+I33</f>
        <v>0</v>
      </c>
      <c r="H36" s="43" t="s">
        <v>45</v>
      </c>
      <c r="I36" s="37">
        <f>IF(COUNT(J27:J36)&gt;0,AVERAGE(J27:J36),0.21)</f>
        <v>0.21</v>
      </c>
      <c r="J36" s="43" t="s">
        <v>46</v>
      </c>
      <c r="K36" s="36">
        <f>ROUND(Q36*(1+I36),2)+R36</f>
        <v>0</v>
      </c>
      <c r="L36" s="10"/>
      <c r="M36" s="4"/>
      <c r="N36" s="4"/>
      <c r="O36" s="4"/>
      <c r="P36" s="4"/>
      <c r="Q36" s="1">
        <f>0+Q27+Q30+Q33</f>
        <v>0</v>
      </c>
      <c r="R36" s="1">
        <f>0+R27+R30+R33</f>
        <v>0</v>
      </c>
      <c r="S36" s="2">
        <f>Q36*(1+I36)+R36</f>
        <v>0</v>
      </c>
    </row>
    <row r="37" spans="1:19" ht="39.950000000000003" customHeight="1">
      <c r="A37" s="9"/>
      <c r="B37" s="284" t="s">
        <v>86</v>
      </c>
      <c r="C37" s="276"/>
      <c r="D37" s="276"/>
      <c r="E37" s="285"/>
      <c r="F37" s="276"/>
      <c r="G37" s="276"/>
      <c r="H37" s="286"/>
      <c r="I37" s="276"/>
      <c r="J37" s="286"/>
      <c r="K37" s="276"/>
      <c r="L37" s="10"/>
      <c r="M37" s="4"/>
      <c r="N37" s="4"/>
      <c r="O37" s="4"/>
      <c r="P37" s="4"/>
    </row>
    <row r="38" spans="1:19">
      <c r="A38" s="9"/>
      <c r="B38" s="22">
        <v>4</v>
      </c>
      <c r="C38" s="23" t="s">
        <v>176</v>
      </c>
      <c r="D38" s="23" t="s">
        <v>92</v>
      </c>
      <c r="E38" s="23" t="s">
        <v>177</v>
      </c>
      <c r="F38" s="24" t="s">
        <v>52</v>
      </c>
      <c r="G38" s="25">
        <f>ROUND(2,3)</f>
        <v>2</v>
      </c>
      <c r="H38" s="40">
        <f>ROUND(0,2)</f>
        <v>0</v>
      </c>
      <c r="I38" s="26">
        <f>ROUND(H38*G38,2)</f>
        <v>0</v>
      </c>
      <c r="J38" s="45" t="s">
        <v>25</v>
      </c>
      <c r="K38" s="26">
        <f>IF(ISNUMBER(J38),ROUND(I38*(J38+1),2),0)</f>
        <v>0</v>
      </c>
      <c r="L38" s="10"/>
      <c r="M38" s="4"/>
      <c r="N38" s="4"/>
      <c r="O38" s="4"/>
      <c r="P38" s="4"/>
      <c r="Q38" s="1">
        <f>IF(ISNUMBER(J38),IF(G38&gt;0,IF(H38&gt;0,I38,0),0),0)</f>
        <v>0</v>
      </c>
      <c r="R38" s="1">
        <f>IF(ISNUMBER(J38)=FALSE,I38,0)</f>
        <v>0</v>
      </c>
    </row>
    <row r="39" spans="1:19">
      <c r="A39" s="9"/>
      <c r="B39" s="283" t="s">
        <v>27</v>
      </c>
      <c r="C39" s="276"/>
      <c r="D39" s="276"/>
      <c r="E39" s="27" t="s">
        <v>25</v>
      </c>
      <c r="F39" s="3"/>
      <c r="G39" s="3"/>
      <c r="H39" s="39"/>
      <c r="I39" s="3"/>
      <c r="J39" s="39"/>
      <c r="K39" s="3"/>
      <c r="L39" s="10"/>
      <c r="M39" s="4"/>
      <c r="N39" s="4"/>
      <c r="O39" s="4"/>
      <c r="P39" s="4"/>
    </row>
    <row r="40" spans="1:19" ht="13.5" thickBot="1">
      <c r="A40" s="9"/>
      <c r="B40" s="281" t="s">
        <v>28</v>
      </c>
      <c r="C40" s="282"/>
      <c r="D40" s="282"/>
      <c r="E40" s="29" t="s">
        <v>25</v>
      </c>
      <c r="F40" s="28"/>
      <c r="G40" s="28"/>
      <c r="H40" s="41"/>
      <c r="I40" s="28"/>
      <c r="J40" s="41"/>
      <c r="K40" s="28"/>
      <c r="L40" s="10"/>
      <c r="M40" s="4"/>
      <c r="N40" s="4"/>
      <c r="O40" s="4"/>
      <c r="P40" s="4"/>
    </row>
    <row r="41" spans="1:19" ht="13.5" thickTop="1">
      <c r="A41" s="9"/>
      <c r="B41" s="22">
        <v>5</v>
      </c>
      <c r="C41" s="23" t="s">
        <v>91</v>
      </c>
      <c r="D41" s="23" t="s">
        <v>92</v>
      </c>
      <c r="E41" s="23" t="s">
        <v>93</v>
      </c>
      <c r="F41" s="24" t="s">
        <v>52</v>
      </c>
      <c r="G41" s="30">
        <f>ROUND(3,3)</f>
        <v>3</v>
      </c>
      <c r="H41" s="42">
        <f>ROUND(0,2)</f>
        <v>0</v>
      </c>
      <c r="I41" s="31">
        <f>ROUND(H41*G41,2)</f>
        <v>0</v>
      </c>
      <c r="J41" s="46" t="s">
        <v>25</v>
      </c>
      <c r="K41" s="31">
        <f>IF(ISNUMBER(J41),ROUND(I41*(J41+1),2),0)</f>
        <v>0</v>
      </c>
      <c r="L41" s="10"/>
      <c r="M41" s="4"/>
      <c r="N41" s="4"/>
      <c r="O41" s="4"/>
      <c r="P41" s="4"/>
      <c r="Q41" s="1">
        <f>IF(ISNUMBER(J41),IF(G41&gt;0,IF(H41&gt;0,I41,0),0),0)</f>
        <v>0</v>
      </c>
      <c r="R41" s="1">
        <f>IF(ISNUMBER(J41)=FALSE,I41,0)</f>
        <v>0</v>
      </c>
    </row>
    <row r="42" spans="1:19">
      <c r="A42" s="9"/>
      <c r="B42" s="283" t="s">
        <v>27</v>
      </c>
      <c r="C42" s="276"/>
      <c r="D42" s="276"/>
      <c r="E42" s="27" t="s">
        <v>25</v>
      </c>
      <c r="F42" s="3"/>
      <c r="G42" s="3"/>
      <c r="H42" s="39"/>
      <c r="I42" s="3"/>
      <c r="J42" s="39"/>
      <c r="K42" s="3"/>
      <c r="L42" s="10"/>
      <c r="M42" s="4"/>
      <c r="N42" s="4"/>
      <c r="O42" s="4"/>
      <c r="P42" s="4"/>
    </row>
    <row r="43" spans="1:19" ht="13.5" thickBot="1">
      <c r="A43" s="9"/>
      <c r="B43" s="281" t="s">
        <v>28</v>
      </c>
      <c r="C43" s="282"/>
      <c r="D43" s="282"/>
      <c r="E43" s="29" t="s">
        <v>25</v>
      </c>
      <c r="F43" s="28"/>
      <c r="G43" s="28"/>
      <c r="H43" s="41"/>
      <c r="I43" s="28"/>
      <c r="J43" s="41"/>
      <c r="K43" s="28"/>
      <c r="L43" s="10"/>
      <c r="M43" s="4"/>
      <c r="N43" s="4"/>
      <c r="O43" s="4"/>
      <c r="P43" s="4"/>
    </row>
    <row r="44" spans="1:19" ht="13.5" thickTop="1">
      <c r="A44" s="9"/>
      <c r="B44" s="22">
        <v>6</v>
      </c>
      <c r="C44" s="23" t="s">
        <v>94</v>
      </c>
      <c r="D44" s="23" t="s">
        <v>92</v>
      </c>
      <c r="E44" s="23" t="s">
        <v>95</v>
      </c>
      <c r="F44" s="24" t="s">
        <v>52</v>
      </c>
      <c r="G44" s="30">
        <f>ROUND(5,3)</f>
        <v>5</v>
      </c>
      <c r="H44" s="42">
        <f>ROUND(0,2)</f>
        <v>0</v>
      </c>
      <c r="I44" s="31">
        <f>ROUND(H44*G44,2)</f>
        <v>0</v>
      </c>
      <c r="J44" s="46" t="s">
        <v>25</v>
      </c>
      <c r="K44" s="31">
        <f>IF(ISNUMBER(J44),ROUND(I44*(J44+1),2),0)</f>
        <v>0</v>
      </c>
      <c r="L44" s="10"/>
      <c r="M44" s="4"/>
      <c r="N44" s="4"/>
      <c r="O44" s="4"/>
      <c r="P44" s="4"/>
      <c r="Q44" s="1">
        <f>IF(ISNUMBER(J44),IF(G44&gt;0,IF(H44&gt;0,I44,0),0),0)</f>
        <v>0</v>
      </c>
      <c r="R44" s="1">
        <f>IF(ISNUMBER(J44)=FALSE,I44,0)</f>
        <v>0</v>
      </c>
    </row>
    <row r="45" spans="1:19">
      <c r="A45" s="9"/>
      <c r="B45" s="283" t="s">
        <v>27</v>
      </c>
      <c r="C45" s="276"/>
      <c r="D45" s="276"/>
      <c r="E45" s="27" t="s">
        <v>25</v>
      </c>
      <c r="F45" s="3"/>
      <c r="G45" s="3"/>
      <c r="H45" s="39"/>
      <c r="I45" s="3"/>
      <c r="J45" s="39"/>
      <c r="K45" s="3"/>
      <c r="L45" s="10"/>
      <c r="M45" s="4"/>
      <c r="N45" s="4"/>
      <c r="O45" s="4"/>
      <c r="P45" s="4"/>
    </row>
    <row r="46" spans="1:19" ht="13.5" thickBot="1">
      <c r="A46" s="9"/>
      <c r="B46" s="281" t="s">
        <v>28</v>
      </c>
      <c r="C46" s="282"/>
      <c r="D46" s="282"/>
      <c r="E46" s="29" t="s">
        <v>25</v>
      </c>
      <c r="F46" s="28"/>
      <c r="G46" s="28"/>
      <c r="H46" s="41"/>
      <c r="I46" s="28"/>
      <c r="J46" s="41"/>
      <c r="K46" s="28"/>
      <c r="L46" s="10"/>
      <c r="M46" s="4"/>
      <c r="N46" s="4"/>
      <c r="O46" s="4"/>
      <c r="P46" s="4"/>
    </row>
    <row r="47" spans="1:19" ht="13.5" thickTop="1">
      <c r="A47" s="9"/>
      <c r="B47" s="22">
        <v>7</v>
      </c>
      <c r="C47" s="23" t="s">
        <v>195</v>
      </c>
      <c r="D47" s="23" t="s">
        <v>92</v>
      </c>
      <c r="E47" s="23" t="s">
        <v>196</v>
      </c>
      <c r="F47" s="24" t="s">
        <v>49</v>
      </c>
      <c r="G47" s="30">
        <f>ROUND(20,3)</f>
        <v>20</v>
      </c>
      <c r="H47" s="42">
        <f>ROUND(0,2)</f>
        <v>0</v>
      </c>
      <c r="I47" s="31">
        <f>ROUND(H47*G47,2)</f>
        <v>0</v>
      </c>
      <c r="J47" s="46" t="s">
        <v>25</v>
      </c>
      <c r="K47" s="31">
        <f>IF(ISNUMBER(J47),ROUND(I47*(J47+1),2),0)</f>
        <v>0</v>
      </c>
      <c r="L47" s="10"/>
      <c r="M47" s="4"/>
      <c r="N47" s="4"/>
      <c r="O47" s="4"/>
      <c r="P47" s="4"/>
      <c r="Q47" s="1">
        <f>IF(ISNUMBER(J47),IF(G47&gt;0,IF(H47&gt;0,I47,0),0),0)</f>
        <v>0</v>
      </c>
      <c r="R47" s="1">
        <f>IF(ISNUMBER(J47)=FALSE,I47,0)</f>
        <v>0</v>
      </c>
    </row>
    <row r="48" spans="1:19">
      <c r="A48" s="9"/>
      <c r="B48" s="283" t="s">
        <v>27</v>
      </c>
      <c r="C48" s="276"/>
      <c r="D48" s="276"/>
      <c r="E48" s="27" t="s">
        <v>25</v>
      </c>
      <c r="F48" s="3"/>
      <c r="G48" s="3"/>
      <c r="H48" s="39"/>
      <c r="I48" s="3"/>
      <c r="J48" s="39"/>
      <c r="K48" s="3"/>
      <c r="L48" s="10"/>
      <c r="M48" s="4"/>
      <c r="N48" s="4"/>
      <c r="O48" s="4"/>
      <c r="P48" s="4"/>
    </row>
    <row r="49" spans="1:19" ht="13.5" thickBot="1">
      <c r="A49" s="9"/>
      <c r="B49" s="281" t="s">
        <v>28</v>
      </c>
      <c r="C49" s="282"/>
      <c r="D49" s="282"/>
      <c r="E49" s="29" t="s">
        <v>25</v>
      </c>
      <c r="F49" s="28"/>
      <c r="G49" s="28"/>
      <c r="H49" s="41"/>
      <c r="I49" s="28"/>
      <c r="J49" s="41"/>
      <c r="K49" s="28"/>
      <c r="L49" s="10"/>
      <c r="M49" s="4"/>
      <c r="N49" s="4"/>
      <c r="O49" s="4"/>
      <c r="P49" s="4"/>
    </row>
    <row r="50" spans="1:19" ht="13.5" thickTop="1">
      <c r="A50" s="9"/>
      <c r="B50" s="22">
        <v>8</v>
      </c>
      <c r="C50" s="23" t="s">
        <v>197</v>
      </c>
      <c r="D50" s="23" t="s">
        <v>92</v>
      </c>
      <c r="E50" s="23" t="s">
        <v>198</v>
      </c>
      <c r="F50" s="24" t="s">
        <v>52</v>
      </c>
      <c r="G50" s="30">
        <f>ROUND(10,3)</f>
        <v>10</v>
      </c>
      <c r="H50" s="42">
        <f>ROUND(0,2)</f>
        <v>0</v>
      </c>
      <c r="I50" s="31">
        <f>ROUND(H50*G50,2)</f>
        <v>0</v>
      </c>
      <c r="J50" s="46" t="s">
        <v>25</v>
      </c>
      <c r="K50" s="31">
        <f>IF(ISNUMBER(J50),ROUND(I50*(J50+1),2),0)</f>
        <v>0</v>
      </c>
      <c r="L50" s="10"/>
      <c r="M50" s="4"/>
      <c r="N50" s="4"/>
      <c r="O50" s="4"/>
      <c r="P50" s="4"/>
      <c r="Q50" s="1">
        <f>IF(ISNUMBER(J50),IF(G50&gt;0,IF(H50&gt;0,I50,0),0),0)</f>
        <v>0</v>
      </c>
      <c r="R50" s="1">
        <f>IF(ISNUMBER(J50)=FALSE,I50,0)</f>
        <v>0</v>
      </c>
    </row>
    <row r="51" spans="1:19">
      <c r="A51" s="9"/>
      <c r="B51" s="283" t="s">
        <v>27</v>
      </c>
      <c r="C51" s="276"/>
      <c r="D51" s="276"/>
      <c r="E51" s="27" t="s">
        <v>25</v>
      </c>
      <c r="F51" s="3"/>
      <c r="G51" s="3"/>
      <c r="H51" s="39"/>
      <c r="I51" s="3"/>
      <c r="J51" s="39"/>
      <c r="K51" s="3"/>
      <c r="L51" s="10"/>
      <c r="M51" s="4"/>
      <c r="N51" s="4"/>
      <c r="O51" s="4"/>
      <c r="P51" s="4"/>
    </row>
    <row r="52" spans="1:19" ht="13.5" thickBot="1">
      <c r="A52" s="9"/>
      <c r="B52" s="281" t="s">
        <v>28</v>
      </c>
      <c r="C52" s="282"/>
      <c r="D52" s="282"/>
      <c r="E52" s="29" t="s">
        <v>25</v>
      </c>
      <c r="F52" s="28"/>
      <c r="G52" s="28"/>
      <c r="H52" s="41"/>
      <c r="I52" s="28"/>
      <c r="J52" s="41"/>
      <c r="K52" s="28"/>
      <c r="L52" s="10"/>
      <c r="M52" s="4"/>
      <c r="N52" s="4"/>
      <c r="O52" s="4"/>
      <c r="P52" s="4"/>
    </row>
    <row r="53" spans="1:19" ht="24.95" customHeight="1" thickTop="1" thickBot="1">
      <c r="A53" s="9"/>
      <c r="B53" s="32"/>
      <c r="C53" s="33">
        <v>9</v>
      </c>
      <c r="D53" s="32"/>
      <c r="E53" s="34" t="s">
        <v>87</v>
      </c>
      <c r="F53" s="35" t="s">
        <v>44</v>
      </c>
      <c r="G53" s="36">
        <f>I38+I41+I44+I47+I50</f>
        <v>0</v>
      </c>
      <c r="H53" s="43" t="s">
        <v>45</v>
      </c>
      <c r="I53" s="37">
        <f>IF(COUNT(J38:J53)&gt;0,AVERAGE(J38:J53),0.21)</f>
        <v>0.21</v>
      </c>
      <c r="J53" s="43" t="s">
        <v>46</v>
      </c>
      <c r="K53" s="36">
        <f>ROUND(Q53*(1+I53),2)+R53</f>
        <v>0</v>
      </c>
      <c r="L53" s="10"/>
      <c r="M53" s="4"/>
      <c r="N53" s="4"/>
      <c r="O53" s="4"/>
      <c r="P53" s="4"/>
      <c r="Q53" s="1">
        <f>0+Q38+Q41+Q44+Q47+Q50</f>
        <v>0</v>
      </c>
      <c r="R53" s="1">
        <f>0+R38+R41+R44+R47+R50</f>
        <v>0</v>
      </c>
      <c r="S53" s="2">
        <f>Q53*(1+I53)+R53</f>
        <v>0</v>
      </c>
    </row>
    <row r="54" spans="1:19">
      <c r="A54" s="11"/>
      <c r="B54" s="5"/>
      <c r="C54" s="5"/>
      <c r="D54" s="5"/>
      <c r="E54" s="38"/>
      <c r="F54" s="5"/>
      <c r="G54" s="5"/>
      <c r="H54" s="44"/>
      <c r="I54" s="5"/>
      <c r="J54" s="44"/>
      <c r="K54" s="5"/>
      <c r="L54" s="12"/>
      <c r="M54" s="4"/>
      <c r="N54" s="4"/>
      <c r="O54" s="4"/>
      <c r="P54" s="4"/>
    </row>
  </sheetData>
  <autoFilter ref="A1:S1" xr:uid="{00000000-0009-0000-0000-000006000000}">
    <filterColumn colId="3" showButton="0"/>
  </autoFilter>
  <mergeCells count="34">
    <mergeCell ref="A1:A2"/>
    <mergeCell ref="A3:F3"/>
    <mergeCell ref="B4:C5"/>
    <mergeCell ref="B6:I6"/>
    <mergeCell ref="D1:E2"/>
    <mergeCell ref="B8:C9"/>
    <mergeCell ref="A10:D10"/>
    <mergeCell ref="A11:G11"/>
    <mergeCell ref="A12:G12"/>
    <mergeCell ref="A13:G13"/>
    <mergeCell ref="B17:C18"/>
    <mergeCell ref="B19:D19"/>
    <mergeCell ref="E19:F19"/>
    <mergeCell ref="B23:C24"/>
    <mergeCell ref="B28:D28"/>
    <mergeCell ref="B26:K26"/>
    <mergeCell ref="B20:D20"/>
    <mergeCell ref="B51:D51"/>
    <mergeCell ref="B52:D52"/>
    <mergeCell ref="B39:D39"/>
    <mergeCell ref="B40:D40"/>
    <mergeCell ref="B42:D42"/>
    <mergeCell ref="B43:D43"/>
    <mergeCell ref="B45:D45"/>
    <mergeCell ref="B37:K37"/>
    <mergeCell ref="B21:D21"/>
    <mergeCell ref="B46:D46"/>
    <mergeCell ref="B48:D48"/>
    <mergeCell ref="B49:D49"/>
    <mergeCell ref="B29:D29"/>
    <mergeCell ref="B31:D31"/>
    <mergeCell ref="B32:D32"/>
    <mergeCell ref="B34:D34"/>
    <mergeCell ref="B35:D35"/>
  </mergeCells>
  <pageMargins left="0.39370078740157499" right="0.39370078740157499" top="0.59055118110236204" bottom="0.39370078740157499" header="0.196850393700787" footer="0.15748031496063"/>
  <pageSetup paperSize="9" fitToHeight="0" orientation="portrait"/>
  <headerFooter>
    <oddFooter>&amp;CLÁVKA PŘES LABE V NYMBURKU | Úprava zpevněných ploch u opěry 7&amp;R&amp;P/&amp;N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6 - SO153UN_cm">
    <tabColor theme="8" tint="0.39997558519241921"/>
    <pageSetUpPr fitToPage="1"/>
  </sheetPr>
  <dimension ref="A1:S54"/>
  <sheetViews>
    <sheetView workbookViewId="0">
      <selection sqref="A1:A2"/>
    </sheetView>
  </sheetViews>
  <sheetFormatPr defaultRowHeight="12.75"/>
  <cols>
    <col min="1" max="1" width="4.7109375"/>
    <col min="2" max="2" width="5.7109375"/>
    <col min="3" max="3" width="11.7109375"/>
    <col min="4" max="4" width="5.7109375"/>
    <col min="5" max="5" width="80.7109375"/>
    <col min="6" max="6" width="20.7109375"/>
    <col min="7" max="11" width="22.7109375"/>
    <col min="12" max="12" width="4.7109375"/>
    <col min="17" max="19" width="0" hidden="1"/>
  </cols>
  <sheetData>
    <row r="1" spans="1:19">
      <c r="A1" s="276"/>
      <c r="B1" s="3"/>
      <c r="C1" s="3"/>
      <c r="D1" s="280" t="s">
        <v>0</v>
      </c>
      <c r="E1" s="276"/>
      <c r="F1" s="3"/>
      <c r="G1" s="3"/>
      <c r="H1" s="3"/>
      <c r="I1" s="3"/>
      <c r="J1" s="3"/>
      <c r="K1" s="3"/>
      <c r="L1" s="3"/>
      <c r="M1" s="4"/>
      <c r="N1" s="4"/>
      <c r="O1" s="4"/>
      <c r="P1" s="4"/>
    </row>
    <row r="2" spans="1:19">
      <c r="A2" s="276"/>
      <c r="B2" s="3"/>
      <c r="C2" s="3"/>
      <c r="D2" s="276"/>
      <c r="E2" s="276"/>
      <c r="F2" s="3"/>
      <c r="G2" s="3"/>
      <c r="H2" s="3"/>
      <c r="I2" s="3"/>
      <c r="J2" s="3"/>
      <c r="K2" s="3"/>
      <c r="L2" s="3"/>
      <c r="M2" s="4"/>
      <c r="N2" s="4"/>
      <c r="O2" s="4"/>
      <c r="P2" s="4"/>
    </row>
    <row r="3" spans="1:19" ht="24" customHeight="1">
      <c r="A3" s="278" t="s">
        <v>1</v>
      </c>
      <c r="B3" s="276"/>
      <c r="C3" s="276"/>
      <c r="D3" s="276"/>
      <c r="E3" s="276"/>
      <c r="F3" s="276"/>
      <c r="G3" s="3"/>
      <c r="H3" s="3"/>
      <c r="I3" s="3"/>
      <c r="J3" s="3"/>
      <c r="K3" s="3"/>
      <c r="L3" s="3"/>
      <c r="M3" s="4"/>
      <c r="N3" s="4"/>
      <c r="O3" s="4"/>
      <c r="P3" s="4"/>
    </row>
    <row r="4" spans="1:19" ht="6" customHeight="1">
      <c r="A4" s="5"/>
      <c r="B4" s="289" t="s">
        <v>2</v>
      </c>
      <c r="C4" s="290"/>
      <c r="D4" s="5"/>
      <c r="E4" s="5"/>
      <c r="F4" s="5"/>
      <c r="G4" s="5"/>
      <c r="H4" s="5"/>
      <c r="I4" s="5"/>
      <c r="J4" s="5"/>
      <c r="K4" s="5"/>
      <c r="L4" s="5"/>
      <c r="M4" s="4"/>
      <c r="N4" s="4"/>
      <c r="O4" s="4"/>
      <c r="P4" s="4"/>
    </row>
    <row r="5" spans="1:19" ht="6" customHeight="1">
      <c r="A5" s="6"/>
      <c r="B5" s="273"/>
      <c r="C5" s="273"/>
      <c r="D5" s="7"/>
      <c r="E5" s="7"/>
      <c r="F5" s="7"/>
      <c r="G5" s="7"/>
      <c r="H5" s="7"/>
      <c r="I5" s="7"/>
      <c r="J5" s="7"/>
      <c r="K5" s="7"/>
      <c r="L5" s="8"/>
      <c r="M5" s="4"/>
      <c r="N5" s="4"/>
      <c r="O5" s="4"/>
      <c r="P5" s="4"/>
    </row>
    <row r="6" spans="1:19" ht="33.950000000000003" customHeight="1">
      <c r="A6" s="9"/>
      <c r="B6" s="297" t="s">
        <v>3</v>
      </c>
      <c r="C6" s="276"/>
      <c r="D6" s="276"/>
      <c r="E6" s="276"/>
      <c r="F6" s="276"/>
      <c r="G6" s="276"/>
      <c r="H6" s="276"/>
      <c r="I6" s="276"/>
      <c r="J6" s="3"/>
      <c r="K6" s="3"/>
      <c r="L6" s="10"/>
      <c r="M6" s="4"/>
      <c r="N6" s="4"/>
      <c r="O6" s="4"/>
      <c r="P6" s="4"/>
    </row>
    <row r="7" spans="1:19">
      <c r="A7" s="11"/>
      <c r="B7" s="5"/>
      <c r="C7" s="5"/>
      <c r="D7" s="5"/>
      <c r="E7" s="5"/>
      <c r="F7" s="5"/>
      <c r="G7" s="5"/>
      <c r="H7" s="5"/>
      <c r="I7" s="5"/>
      <c r="J7" s="5"/>
      <c r="K7" s="5"/>
      <c r="L7" s="12"/>
      <c r="M7" s="4"/>
      <c r="N7" s="4"/>
      <c r="O7" s="4"/>
      <c r="P7" s="4"/>
    </row>
    <row r="8" spans="1:19" ht="14.1" customHeight="1">
      <c r="A8" s="5"/>
      <c r="B8" s="293" t="s">
        <v>4</v>
      </c>
      <c r="C8" s="290"/>
      <c r="D8" s="5"/>
      <c r="E8" s="5"/>
      <c r="F8" s="5"/>
      <c r="G8" s="5"/>
      <c r="H8" s="5"/>
      <c r="I8" s="5"/>
      <c r="J8" s="5"/>
      <c r="K8" s="5"/>
      <c r="L8" s="5"/>
      <c r="M8" s="4"/>
      <c r="N8" s="4"/>
      <c r="O8" s="4"/>
      <c r="P8" s="4"/>
    </row>
    <row r="9" spans="1:19" ht="8.1" customHeight="1">
      <c r="A9" s="6"/>
      <c r="B9" s="273"/>
      <c r="C9" s="273"/>
      <c r="D9" s="7"/>
      <c r="E9" s="7"/>
      <c r="F9" s="7"/>
      <c r="G9" s="7"/>
      <c r="H9" s="7"/>
      <c r="I9" s="7"/>
      <c r="J9" s="7"/>
      <c r="K9" s="7"/>
      <c r="L9" s="8"/>
      <c r="M9" s="4"/>
      <c r="N9" s="4"/>
      <c r="O9" s="4"/>
      <c r="P9" s="4"/>
    </row>
    <row r="10" spans="1:19">
      <c r="A10" s="275" t="s">
        <v>5</v>
      </c>
      <c r="B10" s="276"/>
      <c r="C10" s="294"/>
      <c r="D10" s="276"/>
      <c r="E10" s="3"/>
      <c r="F10" s="14"/>
      <c r="G10" s="3"/>
      <c r="H10" s="15" t="s">
        <v>88</v>
      </c>
      <c r="I10" s="16">
        <f>G32+G40+G45+G53</f>
        <v>0</v>
      </c>
      <c r="J10" s="3"/>
      <c r="K10" s="3"/>
      <c r="L10" s="10"/>
      <c r="M10" s="4"/>
      <c r="N10" s="4"/>
      <c r="O10" s="4"/>
      <c r="P10" s="4"/>
    </row>
    <row r="11" spans="1:19" ht="15.95" customHeight="1">
      <c r="A11" s="277" t="s">
        <v>199</v>
      </c>
      <c r="B11" s="276"/>
      <c r="C11" s="276"/>
      <c r="D11" s="276"/>
      <c r="E11" s="276"/>
      <c r="F11" s="295"/>
      <c r="G11" s="276"/>
      <c r="H11" s="15" t="s">
        <v>89</v>
      </c>
      <c r="I11" s="16">
        <f>ROUND(I10*(1+Q11),2)</f>
        <v>0</v>
      </c>
      <c r="J11" s="3"/>
      <c r="K11" s="3"/>
      <c r="L11" s="10"/>
      <c r="M11" s="4"/>
      <c r="N11" s="4"/>
      <c r="O11" s="4"/>
      <c r="P11" s="4"/>
      <c r="Q11" s="1">
        <f>IF(SUM(J20:J23)&gt;0,ROUND(SUM(S20:S23)/SUM(J20:J23)-1,8),0)</f>
        <v>0</v>
      </c>
      <c r="R11" s="1">
        <f>AVERAGE(I32,I40,I45,I53)</f>
        <v>0.21</v>
      </c>
      <c r="S11" s="1">
        <f>I10*(1+Q11)</f>
        <v>0</v>
      </c>
    </row>
    <row r="12" spans="1:19">
      <c r="A12" s="275" t="s">
        <v>7</v>
      </c>
      <c r="B12" s="276"/>
      <c r="C12" s="294"/>
      <c r="D12" s="276"/>
      <c r="E12" s="276"/>
      <c r="F12" s="296"/>
      <c r="G12" s="276"/>
      <c r="H12" s="3"/>
      <c r="I12" s="3"/>
      <c r="J12" s="3"/>
      <c r="K12" s="3"/>
      <c r="L12" s="10"/>
      <c r="M12" s="4"/>
      <c r="N12" s="4"/>
      <c r="O12" s="4"/>
      <c r="P12" s="4"/>
    </row>
    <row r="13" spans="1:19" ht="15.95" customHeight="1">
      <c r="A13" s="277">
        <f>Souhrn!A13</f>
        <v>0</v>
      </c>
      <c r="B13" s="276"/>
      <c r="C13" s="276"/>
      <c r="D13" s="276"/>
      <c r="E13" s="276"/>
      <c r="F13" s="295"/>
      <c r="G13" s="276"/>
      <c r="H13" s="15" t="s">
        <v>8</v>
      </c>
      <c r="I13" s="13">
        <f>Souhrn!E13</f>
        <v>0</v>
      </c>
      <c r="J13" s="3"/>
      <c r="K13" s="3"/>
      <c r="L13" s="10"/>
      <c r="M13" s="4"/>
      <c r="N13" s="4"/>
      <c r="O13" s="4"/>
      <c r="P13" s="4"/>
    </row>
    <row r="14" spans="1:19">
      <c r="A14" s="9"/>
      <c r="B14" s="3"/>
      <c r="C14" s="3"/>
      <c r="D14" s="3"/>
      <c r="E14" s="3"/>
      <c r="F14" s="3"/>
      <c r="G14" s="3"/>
      <c r="H14" s="15" t="s">
        <v>9</v>
      </c>
      <c r="I14" s="13">
        <f>Souhrn!E14</f>
        <v>0</v>
      </c>
      <c r="J14" s="3"/>
      <c r="K14" s="3"/>
      <c r="L14" s="10"/>
      <c r="M14" s="4"/>
      <c r="N14" s="4"/>
      <c r="O14" s="4"/>
      <c r="P14" s="4"/>
    </row>
    <row r="15" spans="1:19" hidden="1">
      <c r="A15" s="9"/>
      <c r="B15" s="3"/>
      <c r="C15" s="3"/>
      <c r="D15" s="3"/>
      <c r="E15" s="3"/>
      <c r="F15" s="3"/>
      <c r="G15" s="3"/>
      <c r="H15" s="3"/>
      <c r="I15" s="3"/>
      <c r="J15" s="3"/>
      <c r="K15" s="3"/>
      <c r="L15" s="10"/>
      <c r="M15" s="4"/>
      <c r="N15" s="4"/>
      <c r="O15" s="4"/>
      <c r="P15" s="4"/>
    </row>
    <row r="16" spans="1:19" ht="9.9499999999999993" customHeight="1">
      <c r="A16" s="11"/>
      <c r="B16" s="5"/>
      <c r="C16" s="5"/>
      <c r="D16" s="5"/>
      <c r="E16" s="5"/>
      <c r="F16" s="5"/>
      <c r="G16" s="5"/>
      <c r="H16" s="5"/>
      <c r="I16" s="5"/>
      <c r="J16" s="5"/>
      <c r="K16" s="5"/>
      <c r="L16" s="12"/>
      <c r="M16" s="4"/>
      <c r="N16" s="4"/>
      <c r="O16" s="4"/>
      <c r="P16" s="4"/>
    </row>
    <row r="17" spans="1:19" ht="14.1" customHeight="1">
      <c r="A17" s="5"/>
      <c r="B17" s="289" t="s">
        <v>10</v>
      </c>
      <c r="C17" s="290"/>
      <c r="D17" s="5"/>
      <c r="E17" s="5"/>
      <c r="F17" s="5"/>
      <c r="G17" s="5"/>
      <c r="H17" s="5"/>
      <c r="I17" s="5"/>
      <c r="J17" s="5"/>
      <c r="K17" s="5"/>
      <c r="L17" s="5"/>
      <c r="M17" s="4"/>
      <c r="N17" s="4"/>
      <c r="O17" s="4"/>
      <c r="P17" s="4"/>
    </row>
    <row r="18" spans="1:19" ht="6" customHeight="1">
      <c r="A18" s="6"/>
      <c r="B18" s="273"/>
      <c r="C18" s="273"/>
      <c r="D18" s="7"/>
      <c r="E18" s="7"/>
      <c r="F18" s="7"/>
      <c r="G18" s="7"/>
      <c r="H18" s="7"/>
      <c r="I18" s="7"/>
      <c r="J18" s="7"/>
      <c r="K18" s="7"/>
      <c r="L18" s="8"/>
      <c r="M18" s="4"/>
      <c r="N18" s="4"/>
      <c r="O18" s="4"/>
      <c r="P18" s="4"/>
    </row>
    <row r="19" spans="1:19" ht="18" customHeight="1">
      <c r="A19" s="9"/>
      <c r="B19" s="291" t="s">
        <v>11</v>
      </c>
      <c r="C19" s="291"/>
      <c r="D19" s="291"/>
      <c r="E19" s="291" t="s">
        <v>12</v>
      </c>
      <c r="F19" s="292"/>
      <c r="G19" s="19"/>
      <c r="H19" s="19"/>
      <c r="I19" s="19"/>
      <c r="J19" s="19" t="s">
        <v>13</v>
      </c>
      <c r="K19" s="19" t="s">
        <v>14</v>
      </c>
      <c r="L19" s="10"/>
      <c r="M19" s="4"/>
      <c r="N19" s="4"/>
      <c r="O19" s="4"/>
      <c r="P19" s="4"/>
    </row>
    <row r="20" spans="1:19">
      <c r="A20" s="9"/>
      <c r="B20" s="287">
        <v>0</v>
      </c>
      <c r="C20" s="276"/>
      <c r="D20" s="276"/>
      <c r="E20" s="20" t="s">
        <v>43</v>
      </c>
      <c r="F20" s="3"/>
      <c r="G20" s="3"/>
      <c r="H20" s="3"/>
      <c r="I20" s="3"/>
      <c r="J20" s="21">
        <f>G32</f>
        <v>0</v>
      </c>
      <c r="K20" s="21">
        <f>K32</f>
        <v>0</v>
      </c>
      <c r="L20" s="10"/>
      <c r="M20" s="4"/>
      <c r="N20" s="4"/>
      <c r="O20" s="4"/>
      <c r="P20" s="4"/>
      <c r="S20" s="1">
        <f>S32</f>
        <v>0</v>
      </c>
    </row>
    <row r="21" spans="1:19">
      <c r="A21" s="9"/>
      <c r="B21" s="287">
        <v>1</v>
      </c>
      <c r="C21" s="276"/>
      <c r="D21" s="276"/>
      <c r="E21" s="20" t="s">
        <v>72</v>
      </c>
      <c r="F21" s="3"/>
      <c r="G21" s="3"/>
      <c r="H21" s="3"/>
      <c r="I21" s="3"/>
      <c r="J21" s="21">
        <f>G40</f>
        <v>0</v>
      </c>
      <c r="K21" s="21">
        <f>K40</f>
        <v>0</v>
      </c>
      <c r="L21" s="10"/>
      <c r="M21" s="4"/>
      <c r="N21" s="4"/>
      <c r="O21" s="4"/>
      <c r="P21" s="4"/>
      <c r="S21" s="1">
        <f>S40</f>
        <v>0</v>
      </c>
    </row>
    <row r="22" spans="1:19">
      <c r="A22" s="9"/>
      <c r="B22" s="287">
        <v>4</v>
      </c>
      <c r="C22" s="276"/>
      <c r="D22" s="276"/>
      <c r="E22" s="20" t="s">
        <v>122</v>
      </c>
      <c r="F22" s="3"/>
      <c r="G22" s="3"/>
      <c r="H22" s="3"/>
      <c r="I22" s="3"/>
      <c r="J22" s="21">
        <f>G45</f>
        <v>0</v>
      </c>
      <c r="K22" s="21">
        <f>K45</f>
        <v>0</v>
      </c>
      <c r="L22" s="10"/>
      <c r="M22" s="4"/>
      <c r="N22" s="4"/>
      <c r="O22" s="4"/>
      <c r="P22" s="4"/>
      <c r="S22" s="1">
        <f>S45</f>
        <v>0</v>
      </c>
    </row>
    <row r="23" spans="1:19">
      <c r="A23" s="9"/>
      <c r="B23" s="287">
        <v>5</v>
      </c>
      <c r="C23" s="276"/>
      <c r="D23" s="276"/>
      <c r="E23" s="20" t="s">
        <v>152</v>
      </c>
      <c r="F23" s="3"/>
      <c r="G23" s="3"/>
      <c r="H23" s="3"/>
      <c r="I23" s="3"/>
      <c r="J23" s="21">
        <f>G53</f>
        <v>0</v>
      </c>
      <c r="K23" s="21">
        <f>K53</f>
        <v>0</v>
      </c>
      <c r="L23" s="10"/>
      <c r="M23" s="4"/>
      <c r="N23" s="4"/>
      <c r="O23" s="4"/>
      <c r="P23" s="4"/>
      <c r="S23" s="1">
        <f>S53</f>
        <v>0</v>
      </c>
    </row>
    <row r="24" spans="1:19">
      <c r="A24" s="11"/>
      <c r="B24" s="5"/>
      <c r="C24" s="5"/>
      <c r="D24" s="5"/>
      <c r="E24" s="5"/>
      <c r="F24" s="5"/>
      <c r="G24" s="5"/>
      <c r="H24" s="5"/>
      <c r="I24" s="5"/>
      <c r="J24" s="5"/>
      <c r="K24" s="5"/>
      <c r="L24" s="12"/>
      <c r="M24" s="4"/>
      <c r="N24" s="4"/>
      <c r="O24" s="4"/>
      <c r="P24" s="4"/>
    </row>
    <row r="25" spans="1:19" ht="14.1" customHeight="1">
      <c r="A25" s="5"/>
      <c r="B25" s="289" t="s">
        <v>15</v>
      </c>
      <c r="C25" s="290"/>
      <c r="D25" s="5"/>
      <c r="E25" s="5"/>
      <c r="F25" s="5"/>
      <c r="G25" s="5"/>
      <c r="H25" s="5"/>
      <c r="I25" s="5"/>
      <c r="J25" s="5"/>
      <c r="K25" s="5"/>
      <c r="L25" s="5"/>
      <c r="M25" s="4"/>
      <c r="N25" s="4"/>
      <c r="O25" s="4"/>
      <c r="P25" s="4"/>
    </row>
    <row r="26" spans="1:19" ht="18" customHeight="1">
      <c r="A26" s="6"/>
      <c r="B26" s="273"/>
      <c r="C26" s="273"/>
      <c r="D26" s="7"/>
      <c r="E26" s="7"/>
      <c r="F26" s="7"/>
      <c r="G26" s="7"/>
      <c r="H26" s="7"/>
      <c r="I26" s="7"/>
      <c r="J26" s="7"/>
      <c r="K26" s="7"/>
      <c r="L26" s="8"/>
      <c r="M26" s="4"/>
      <c r="N26" s="4"/>
      <c r="O26" s="4"/>
      <c r="P26" s="4"/>
    </row>
    <row r="27" spans="1:19" ht="18" customHeight="1">
      <c r="A27" s="9"/>
      <c r="B27" s="17" t="s">
        <v>16</v>
      </c>
      <c r="C27" s="17" t="s">
        <v>11</v>
      </c>
      <c r="D27" s="17" t="s">
        <v>17</v>
      </c>
      <c r="E27" s="17" t="s">
        <v>12</v>
      </c>
      <c r="F27" s="18" t="s">
        <v>18</v>
      </c>
      <c r="G27" s="19" t="s">
        <v>19</v>
      </c>
      <c r="H27" s="19" t="s">
        <v>20</v>
      </c>
      <c r="I27" s="19" t="s">
        <v>13</v>
      </c>
      <c r="J27" s="18" t="s">
        <v>21</v>
      </c>
      <c r="K27" s="19" t="s">
        <v>14</v>
      </c>
      <c r="L27" s="10"/>
      <c r="M27" s="4"/>
      <c r="N27" s="4"/>
      <c r="O27" s="4"/>
      <c r="P27" s="4"/>
    </row>
    <row r="28" spans="1:19" ht="39.950000000000003" customHeight="1">
      <c r="A28" s="9"/>
      <c r="B28" s="288" t="s">
        <v>42</v>
      </c>
      <c r="C28" s="276"/>
      <c r="D28" s="276"/>
      <c r="E28" s="276"/>
      <c r="F28" s="276"/>
      <c r="G28" s="276"/>
      <c r="H28" s="286"/>
      <c r="I28" s="276"/>
      <c r="J28" s="286"/>
      <c r="K28" s="276"/>
      <c r="L28" s="10"/>
      <c r="M28" s="4"/>
      <c r="N28" s="4"/>
      <c r="O28" s="4"/>
      <c r="P28" s="4"/>
    </row>
    <row r="29" spans="1:19">
      <c r="A29" s="9"/>
      <c r="B29" s="22">
        <v>1</v>
      </c>
      <c r="C29" s="23" t="s">
        <v>98</v>
      </c>
      <c r="D29" s="23" t="s">
        <v>25</v>
      </c>
      <c r="E29" s="23" t="s">
        <v>99</v>
      </c>
      <c r="F29" s="24" t="s">
        <v>40</v>
      </c>
      <c r="G29" s="25">
        <f>ROUND(2,3)</f>
        <v>2</v>
      </c>
      <c r="H29" s="40">
        <f>ROUND(0,2)</f>
        <v>0</v>
      </c>
      <c r="I29" s="26">
        <f>ROUND(H29*G29,2)</f>
        <v>0</v>
      </c>
      <c r="J29" s="45" t="s">
        <v>25</v>
      </c>
      <c r="K29" s="26">
        <f>IF(ISNUMBER(J29),ROUND(I29*(J29+1),2),0)</f>
        <v>0</v>
      </c>
      <c r="L29" s="10"/>
      <c r="M29" s="4"/>
      <c r="N29" s="4"/>
      <c r="O29" s="4"/>
      <c r="P29" s="4"/>
      <c r="Q29" s="1">
        <f>IF(ISNUMBER(J29),IF(G29&gt;0,IF(H29&gt;0,I29,0),0),0)</f>
        <v>0</v>
      </c>
      <c r="R29" s="1">
        <f>IF(ISNUMBER(J29)=FALSE,I29,0)</f>
        <v>0</v>
      </c>
    </row>
    <row r="30" spans="1:19">
      <c r="A30" s="9"/>
      <c r="B30" s="283" t="s">
        <v>27</v>
      </c>
      <c r="C30" s="276"/>
      <c r="D30" s="276"/>
      <c r="E30" s="27" t="s">
        <v>100</v>
      </c>
      <c r="F30" s="3"/>
      <c r="G30" s="3"/>
      <c r="H30" s="39"/>
      <c r="I30" s="3"/>
      <c r="J30" s="39"/>
      <c r="K30" s="3"/>
      <c r="L30" s="10"/>
      <c r="M30" s="4"/>
      <c r="N30" s="4"/>
      <c r="O30" s="4"/>
      <c r="P30" s="4"/>
    </row>
    <row r="31" spans="1:19" ht="13.5" thickBot="1">
      <c r="A31" s="9"/>
      <c r="B31" s="281" t="s">
        <v>28</v>
      </c>
      <c r="C31" s="282"/>
      <c r="D31" s="282"/>
      <c r="E31" s="29" t="s">
        <v>25</v>
      </c>
      <c r="F31" s="28"/>
      <c r="G31" s="28"/>
      <c r="H31" s="41"/>
      <c r="I31" s="28"/>
      <c r="J31" s="41"/>
      <c r="K31" s="28"/>
      <c r="L31" s="10"/>
      <c r="M31" s="4"/>
      <c r="N31" s="4"/>
      <c r="O31" s="4"/>
      <c r="P31" s="4"/>
    </row>
    <row r="32" spans="1:19" ht="24.95" customHeight="1" thickTop="1" thickBot="1">
      <c r="A32" s="9"/>
      <c r="B32" s="32"/>
      <c r="C32" s="33">
        <v>0</v>
      </c>
      <c r="D32" s="32"/>
      <c r="E32" s="34" t="s">
        <v>43</v>
      </c>
      <c r="F32" s="35" t="s">
        <v>44</v>
      </c>
      <c r="G32" s="36">
        <f>0+I29</f>
        <v>0</v>
      </c>
      <c r="H32" s="43" t="s">
        <v>45</v>
      </c>
      <c r="I32" s="37">
        <f>IF(COUNT(J29:J32)&gt;0,AVERAGE(J29:J32),0.21)</f>
        <v>0.21</v>
      </c>
      <c r="J32" s="43" t="s">
        <v>46</v>
      </c>
      <c r="K32" s="36">
        <f>ROUND(Q32*(1+I32),2)+R32</f>
        <v>0</v>
      </c>
      <c r="L32" s="10"/>
      <c r="M32" s="4"/>
      <c r="N32" s="4"/>
      <c r="O32" s="4"/>
      <c r="P32" s="4"/>
      <c r="Q32" s="1">
        <f>0+Q29</f>
        <v>0</v>
      </c>
      <c r="R32" s="1">
        <f>0+R29</f>
        <v>0</v>
      </c>
      <c r="S32" s="2">
        <f>Q32*(1+I32)+R32</f>
        <v>0</v>
      </c>
    </row>
    <row r="33" spans="1:19" ht="39.950000000000003" customHeight="1">
      <c r="A33" s="9"/>
      <c r="B33" s="284" t="s">
        <v>71</v>
      </c>
      <c r="C33" s="276"/>
      <c r="D33" s="276"/>
      <c r="E33" s="285"/>
      <c r="F33" s="276"/>
      <c r="G33" s="276"/>
      <c r="H33" s="286"/>
      <c r="I33" s="276"/>
      <c r="J33" s="286"/>
      <c r="K33" s="276"/>
      <c r="L33" s="10"/>
      <c r="M33" s="4"/>
      <c r="N33" s="4"/>
      <c r="O33" s="4"/>
      <c r="P33" s="4"/>
    </row>
    <row r="34" spans="1:19">
      <c r="A34" s="9"/>
      <c r="B34" s="22">
        <v>2</v>
      </c>
      <c r="C34" s="23" t="s">
        <v>179</v>
      </c>
      <c r="D34" s="23"/>
      <c r="E34" s="23" t="s">
        <v>180</v>
      </c>
      <c r="F34" s="24" t="s">
        <v>57</v>
      </c>
      <c r="G34" s="25">
        <f>ROUND(5,3)</f>
        <v>5</v>
      </c>
      <c r="H34" s="40">
        <f>ROUND(0,2)</f>
        <v>0</v>
      </c>
      <c r="I34" s="26">
        <f>ROUND(H34*G34,2)</f>
        <v>0</v>
      </c>
      <c r="J34" s="45" t="s">
        <v>25</v>
      </c>
      <c r="K34" s="26">
        <f>IF(ISNUMBER(J34),ROUND(I34*(J34+1),2),0)</f>
        <v>0</v>
      </c>
      <c r="L34" s="10"/>
      <c r="M34" s="4"/>
      <c r="N34" s="4"/>
      <c r="O34" s="4"/>
      <c r="P34" s="4"/>
      <c r="Q34" s="1">
        <f>IF(ISNUMBER(J34),IF(G34&gt;0,IF(H34&gt;0,I34,0),0),0)</f>
        <v>0</v>
      </c>
      <c r="R34" s="1">
        <f>IF(ISNUMBER(J34)=FALSE,I34,0)</f>
        <v>0</v>
      </c>
    </row>
    <row r="35" spans="1:19">
      <c r="A35" s="9"/>
      <c r="B35" s="283" t="s">
        <v>27</v>
      </c>
      <c r="C35" s="276"/>
      <c r="D35" s="276"/>
      <c r="E35" s="27" t="s">
        <v>25</v>
      </c>
      <c r="F35" s="3"/>
      <c r="G35" s="3"/>
      <c r="H35" s="39"/>
      <c r="I35" s="3"/>
      <c r="J35" s="39"/>
      <c r="K35" s="3"/>
      <c r="L35" s="10"/>
      <c r="M35" s="4"/>
      <c r="N35" s="4"/>
      <c r="O35" s="4"/>
      <c r="P35" s="4"/>
    </row>
    <row r="36" spans="1:19" ht="13.5" thickBot="1">
      <c r="A36" s="9"/>
      <c r="B36" s="281" t="s">
        <v>28</v>
      </c>
      <c r="C36" s="282"/>
      <c r="D36" s="282"/>
      <c r="E36" s="29" t="s">
        <v>25</v>
      </c>
      <c r="F36" s="28"/>
      <c r="G36" s="28"/>
      <c r="H36" s="41"/>
      <c r="I36" s="28"/>
      <c r="J36" s="41"/>
      <c r="K36" s="28"/>
      <c r="L36" s="10"/>
      <c r="M36" s="4"/>
      <c r="N36" s="4"/>
      <c r="O36" s="4"/>
      <c r="P36" s="4"/>
    </row>
    <row r="37" spans="1:19" ht="13.5" thickTop="1">
      <c r="A37" s="9"/>
      <c r="B37" s="22">
        <v>3</v>
      </c>
      <c r="C37" s="23" t="s">
        <v>107</v>
      </c>
      <c r="D37" s="23"/>
      <c r="E37" s="23" t="s">
        <v>108</v>
      </c>
      <c r="F37" s="24" t="s">
        <v>49</v>
      </c>
      <c r="G37" s="30">
        <f>ROUND(14.5,3)</f>
        <v>14.5</v>
      </c>
      <c r="H37" s="42">
        <f>ROUND(0,2)</f>
        <v>0</v>
      </c>
      <c r="I37" s="31">
        <f>ROUND(H37*G37,2)</f>
        <v>0</v>
      </c>
      <c r="J37" s="46" t="s">
        <v>25</v>
      </c>
      <c r="K37" s="31">
        <f>IF(ISNUMBER(J37),ROUND(I37*(J37+1),2),0)</f>
        <v>0</v>
      </c>
      <c r="L37" s="10"/>
      <c r="M37" s="4"/>
      <c r="N37" s="4"/>
      <c r="O37" s="4"/>
      <c r="P37" s="4"/>
      <c r="Q37" s="1">
        <f>IF(ISNUMBER(J37),IF(G37&gt;0,IF(H37&gt;0,I37,0),0),0)</f>
        <v>0</v>
      </c>
      <c r="R37" s="1">
        <f>IF(ISNUMBER(J37)=FALSE,I37,0)</f>
        <v>0</v>
      </c>
    </row>
    <row r="38" spans="1:19">
      <c r="A38" s="9"/>
      <c r="B38" s="283" t="s">
        <v>27</v>
      </c>
      <c r="C38" s="276"/>
      <c r="D38" s="276"/>
      <c r="E38" s="27" t="s">
        <v>25</v>
      </c>
      <c r="F38" s="3"/>
      <c r="G38" s="3"/>
      <c r="H38" s="39"/>
      <c r="I38" s="3"/>
      <c r="J38" s="39"/>
      <c r="K38" s="3"/>
      <c r="L38" s="10"/>
      <c r="M38" s="4"/>
      <c r="N38" s="4"/>
      <c r="O38" s="4"/>
      <c r="P38" s="4"/>
    </row>
    <row r="39" spans="1:19" ht="13.5" thickBot="1">
      <c r="A39" s="9"/>
      <c r="B39" s="281" t="s">
        <v>28</v>
      </c>
      <c r="C39" s="282"/>
      <c r="D39" s="282"/>
      <c r="E39" s="29" t="s">
        <v>25</v>
      </c>
      <c r="F39" s="28"/>
      <c r="G39" s="28"/>
      <c r="H39" s="41"/>
      <c r="I39" s="28"/>
      <c r="J39" s="41"/>
      <c r="K39" s="28"/>
      <c r="L39" s="10"/>
      <c r="M39" s="4"/>
      <c r="N39" s="4"/>
      <c r="O39" s="4"/>
      <c r="P39" s="4"/>
    </row>
    <row r="40" spans="1:19" ht="24.95" customHeight="1" thickTop="1" thickBot="1">
      <c r="A40" s="9"/>
      <c r="B40" s="32"/>
      <c r="C40" s="33">
        <v>1</v>
      </c>
      <c r="D40" s="32"/>
      <c r="E40" s="34" t="s">
        <v>72</v>
      </c>
      <c r="F40" s="35" t="s">
        <v>44</v>
      </c>
      <c r="G40" s="36">
        <f>I34+I37</f>
        <v>0</v>
      </c>
      <c r="H40" s="43" t="s">
        <v>45</v>
      </c>
      <c r="I40" s="37">
        <f>IF(COUNT(J34:J40)&gt;0,AVERAGE(J34:J40),0.21)</f>
        <v>0.21</v>
      </c>
      <c r="J40" s="43" t="s">
        <v>46</v>
      </c>
      <c r="K40" s="36">
        <f>ROUND(Q40*(1+I40),2)+R40</f>
        <v>0</v>
      </c>
      <c r="L40" s="10"/>
      <c r="M40" s="4"/>
      <c r="N40" s="4"/>
      <c r="O40" s="4"/>
      <c r="P40" s="4"/>
      <c r="Q40" s="1">
        <f>0+Q34+Q37</f>
        <v>0</v>
      </c>
      <c r="R40" s="1">
        <f>0+R34+R37</f>
        <v>0</v>
      </c>
      <c r="S40" s="2">
        <f>Q40*(1+I40)+R40</f>
        <v>0</v>
      </c>
    </row>
    <row r="41" spans="1:19" ht="39.950000000000003" customHeight="1">
      <c r="A41" s="9"/>
      <c r="B41" s="284" t="s">
        <v>121</v>
      </c>
      <c r="C41" s="276"/>
      <c r="D41" s="276"/>
      <c r="E41" s="285"/>
      <c r="F41" s="276"/>
      <c r="G41" s="276"/>
      <c r="H41" s="286"/>
      <c r="I41" s="276"/>
      <c r="J41" s="286"/>
      <c r="K41" s="276"/>
      <c r="L41" s="10"/>
      <c r="M41" s="4"/>
      <c r="N41" s="4"/>
      <c r="O41" s="4"/>
      <c r="P41" s="4"/>
    </row>
    <row r="42" spans="1:19">
      <c r="A42" s="9"/>
      <c r="B42" s="22">
        <v>4</v>
      </c>
      <c r="C42" s="23" t="s">
        <v>119</v>
      </c>
      <c r="D42" s="23" t="s">
        <v>25</v>
      </c>
      <c r="E42" s="23" t="s">
        <v>120</v>
      </c>
      <c r="F42" s="24" t="s">
        <v>49</v>
      </c>
      <c r="G42" s="25">
        <f>ROUND(58,3)</f>
        <v>58</v>
      </c>
      <c r="H42" s="40">
        <f>ROUND(0,2)</f>
        <v>0</v>
      </c>
      <c r="I42" s="26">
        <f>ROUND(H42*G42,2)</f>
        <v>0</v>
      </c>
      <c r="J42" s="45" t="s">
        <v>25</v>
      </c>
      <c r="K42" s="26">
        <f>IF(ISNUMBER(J42),ROUND(I42*(J42+1),2),0)</f>
        <v>0</v>
      </c>
      <c r="L42" s="10"/>
      <c r="M42" s="4"/>
      <c r="N42" s="4"/>
      <c r="O42" s="4"/>
      <c r="P42" s="4"/>
      <c r="Q42" s="1">
        <f>IF(ISNUMBER(J42),IF(G42&gt;0,IF(H42&gt;0,I42,0),0),0)</f>
        <v>0</v>
      </c>
      <c r="R42" s="1">
        <f>IF(ISNUMBER(J42)=FALSE,I42,0)</f>
        <v>0</v>
      </c>
    </row>
    <row r="43" spans="1:19">
      <c r="A43" s="9"/>
      <c r="B43" s="283" t="s">
        <v>27</v>
      </c>
      <c r="C43" s="276"/>
      <c r="D43" s="276"/>
      <c r="E43" s="27" t="s">
        <v>25</v>
      </c>
      <c r="F43" s="3"/>
      <c r="G43" s="3"/>
      <c r="H43" s="39"/>
      <c r="I43" s="3"/>
      <c r="J43" s="39"/>
      <c r="K43" s="3"/>
      <c r="L43" s="10"/>
      <c r="M43" s="4"/>
      <c r="N43" s="4"/>
      <c r="O43" s="4"/>
      <c r="P43" s="4"/>
    </row>
    <row r="44" spans="1:19" ht="13.5" thickBot="1">
      <c r="A44" s="9"/>
      <c r="B44" s="281" t="s">
        <v>28</v>
      </c>
      <c r="C44" s="282"/>
      <c r="D44" s="282"/>
      <c r="E44" s="29" t="s">
        <v>25</v>
      </c>
      <c r="F44" s="28"/>
      <c r="G44" s="28"/>
      <c r="H44" s="41"/>
      <c r="I44" s="28"/>
      <c r="J44" s="41"/>
      <c r="K44" s="28"/>
      <c r="L44" s="10"/>
      <c r="M44" s="4"/>
      <c r="N44" s="4"/>
      <c r="O44" s="4"/>
      <c r="P44" s="4"/>
    </row>
    <row r="45" spans="1:19" ht="24.95" customHeight="1" thickTop="1" thickBot="1">
      <c r="A45" s="9"/>
      <c r="B45" s="32"/>
      <c r="C45" s="33">
        <v>4</v>
      </c>
      <c r="D45" s="32"/>
      <c r="E45" s="34" t="s">
        <v>122</v>
      </c>
      <c r="F45" s="35" t="s">
        <v>44</v>
      </c>
      <c r="G45" s="36">
        <f>0+I42</f>
        <v>0</v>
      </c>
      <c r="H45" s="43" t="s">
        <v>45</v>
      </c>
      <c r="I45" s="37">
        <f>IF(COUNT(J42:J45)&gt;0,AVERAGE(J42:J45),0.21)</f>
        <v>0.21</v>
      </c>
      <c r="J45" s="43" t="s">
        <v>46</v>
      </c>
      <c r="K45" s="36">
        <f>ROUND(Q45*(1+I45),2)+R45</f>
        <v>0</v>
      </c>
      <c r="L45" s="10"/>
      <c r="M45" s="4"/>
      <c r="N45" s="4"/>
      <c r="O45" s="4"/>
      <c r="P45" s="4"/>
      <c r="Q45" s="1">
        <f>0+Q42</f>
        <v>0</v>
      </c>
      <c r="R45" s="1">
        <f>0+R42</f>
        <v>0</v>
      </c>
      <c r="S45" s="2">
        <f>Q45*(1+I45)+R45</f>
        <v>0</v>
      </c>
    </row>
    <row r="46" spans="1:19" ht="39.950000000000003" customHeight="1">
      <c r="A46" s="9"/>
      <c r="B46" s="284" t="s">
        <v>151</v>
      </c>
      <c r="C46" s="276"/>
      <c r="D46" s="276"/>
      <c r="E46" s="285"/>
      <c r="F46" s="276"/>
      <c r="G46" s="276"/>
      <c r="H46" s="286"/>
      <c r="I46" s="276"/>
      <c r="J46" s="286"/>
      <c r="K46" s="276"/>
      <c r="L46" s="10"/>
      <c r="M46" s="4"/>
      <c r="N46" s="4"/>
      <c r="O46" s="4"/>
      <c r="P46" s="4"/>
    </row>
    <row r="47" spans="1:19">
      <c r="A47" s="9"/>
      <c r="B47" s="22">
        <v>5</v>
      </c>
      <c r="C47" s="23" t="s">
        <v>123</v>
      </c>
      <c r="D47" s="23" t="s">
        <v>25</v>
      </c>
      <c r="E47" s="23" t="s">
        <v>124</v>
      </c>
      <c r="F47" s="24" t="s">
        <v>49</v>
      </c>
      <c r="G47" s="25">
        <f>ROUND(14,3)</f>
        <v>14</v>
      </c>
      <c r="H47" s="40">
        <f>ROUND(0,2)</f>
        <v>0</v>
      </c>
      <c r="I47" s="26">
        <f>ROUND(H47*G47,2)</f>
        <v>0</v>
      </c>
      <c r="J47" s="45" t="s">
        <v>25</v>
      </c>
      <c r="K47" s="26">
        <f>IF(ISNUMBER(J47),ROUND(I47*(J47+1),2),0)</f>
        <v>0</v>
      </c>
      <c r="L47" s="10"/>
      <c r="M47" s="4"/>
      <c r="N47" s="4"/>
      <c r="O47" s="4"/>
      <c r="P47" s="4"/>
      <c r="Q47" s="1">
        <f>IF(ISNUMBER(J47),IF(G47&gt;0,IF(H47&gt;0,I47,0),0),0)</f>
        <v>0</v>
      </c>
      <c r="R47" s="1">
        <f>IF(ISNUMBER(J47)=FALSE,I47,0)</f>
        <v>0</v>
      </c>
    </row>
    <row r="48" spans="1:19">
      <c r="A48" s="9"/>
      <c r="B48" s="283" t="s">
        <v>27</v>
      </c>
      <c r="C48" s="276"/>
      <c r="D48" s="276"/>
      <c r="E48" s="27" t="s">
        <v>125</v>
      </c>
      <c r="F48" s="3"/>
      <c r="G48" s="3"/>
      <c r="H48" s="39"/>
      <c r="I48" s="3"/>
      <c r="J48" s="39"/>
      <c r="K48" s="3"/>
      <c r="L48" s="10"/>
      <c r="M48" s="4"/>
      <c r="N48" s="4"/>
      <c r="O48" s="4"/>
      <c r="P48" s="4"/>
    </row>
    <row r="49" spans="1:19" ht="13.5" thickBot="1">
      <c r="A49" s="9"/>
      <c r="B49" s="281" t="s">
        <v>28</v>
      </c>
      <c r="C49" s="282"/>
      <c r="D49" s="282"/>
      <c r="E49" s="29" t="s">
        <v>25</v>
      </c>
      <c r="F49" s="28"/>
      <c r="G49" s="28"/>
      <c r="H49" s="41"/>
      <c r="I49" s="28"/>
      <c r="J49" s="41"/>
      <c r="K49" s="28"/>
      <c r="L49" s="10"/>
      <c r="M49" s="4"/>
      <c r="N49" s="4"/>
      <c r="O49" s="4"/>
      <c r="P49" s="4"/>
    </row>
    <row r="50" spans="1:19" ht="13.5" thickTop="1">
      <c r="A50" s="9"/>
      <c r="B50" s="22">
        <v>6</v>
      </c>
      <c r="C50" s="23" t="s">
        <v>141</v>
      </c>
      <c r="D50" s="23" t="s">
        <v>25</v>
      </c>
      <c r="E50" s="23" t="s">
        <v>142</v>
      </c>
      <c r="F50" s="24" t="s">
        <v>49</v>
      </c>
      <c r="G50" s="30">
        <f>ROUND(14,3)</f>
        <v>14</v>
      </c>
      <c r="H50" s="42">
        <f>ROUND(0,2)</f>
        <v>0</v>
      </c>
      <c r="I50" s="31">
        <f>ROUND(H50*G50,2)</f>
        <v>0</v>
      </c>
      <c r="J50" s="46" t="s">
        <v>25</v>
      </c>
      <c r="K50" s="31">
        <f>IF(ISNUMBER(J50),ROUND(I50*(J50+1),2),0)</f>
        <v>0</v>
      </c>
      <c r="L50" s="10"/>
      <c r="M50" s="4"/>
      <c r="N50" s="4"/>
      <c r="O50" s="4"/>
      <c r="P50" s="4"/>
      <c r="Q50" s="1">
        <f>IF(ISNUMBER(J50),IF(G50&gt;0,IF(H50&gt;0,I50,0),0),0)</f>
        <v>0</v>
      </c>
      <c r="R50" s="1">
        <f>IF(ISNUMBER(J50)=FALSE,I50,0)</f>
        <v>0</v>
      </c>
    </row>
    <row r="51" spans="1:19">
      <c r="A51" s="9"/>
      <c r="B51" s="283" t="s">
        <v>27</v>
      </c>
      <c r="C51" s="276"/>
      <c r="D51" s="276"/>
      <c r="E51" s="27" t="s">
        <v>143</v>
      </c>
      <c r="F51" s="3"/>
      <c r="G51" s="3"/>
      <c r="H51" s="39"/>
      <c r="I51" s="3"/>
      <c r="J51" s="39"/>
      <c r="K51" s="3"/>
      <c r="L51" s="10"/>
      <c r="M51" s="4"/>
      <c r="N51" s="4"/>
      <c r="O51" s="4"/>
      <c r="P51" s="4"/>
    </row>
    <row r="52" spans="1:19" ht="13.5" thickBot="1">
      <c r="A52" s="9"/>
      <c r="B52" s="281" t="s">
        <v>28</v>
      </c>
      <c r="C52" s="282"/>
      <c r="D52" s="282"/>
      <c r="E52" s="29" t="s">
        <v>25</v>
      </c>
      <c r="F52" s="28"/>
      <c r="G52" s="28"/>
      <c r="H52" s="41"/>
      <c r="I52" s="28"/>
      <c r="J52" s="41"/>
      <c r="K52" s="28"/>
      <c r="L52" s="10"/>
      <c r="M52" s="4"/>
      <c r="N52" s="4"/>
      <c r="O52" s="4"/>
      <c r="P52" s="4"/>
    </row>
    <row r="53" spans="1:19" ht="24.95" customHeight="1" thickTop="1" thickBot="1">
      <c r="A53" s="9"/>
      <c r="B53" s="32"/>
      <c r="C53" s="33">
        <v>5</v>
      </c>
      <c r="D53" s="32"/>
      <c r="E53" s="34" t="s">
        <v>152</v>
      </c>
      <c r="F53" s="35" t="s">
        <v>44</v>
      </c>
      <c r="G53" s="36">
        <f>I47+I50</f>
        <v>0</v>
      </c>
      <c r="H53" s="43" t="s">
        <v>45</v>
      </c>
      <c r="I53" s="37">
        <f>IF(COUNT(J47:J53)&gt;0,AVERAGE(J47:J53),0.21)</f>
        <v>0.21</v>
      </c>
      <c r="J53" s="43" t="s">
        <v>46</v>
      </c>
      <c r="K53" s="36">
        <f>ROUND(Q53*(1+I53),2)+R53</f>
        <v>0</v>
      </c>
      <c r="L53" s="10"/>
      <c r="M53" s="4"/>
      <c r="N53" s="4"/>
      <c r="O53" s="4"/>
      <c r="P53" s="4"/>
      <c r="Q53" s="1">
        <f>0+Q47+Q50</f>
        <v>0</v>
      </c>
      <c r="R53" s="1">
        <f>0+R47+R50</f>
        <v>0</v>
      </c>
      <c r="S53" s="2">
        <f>Q53*(1+I53)+R53</f>
        <v>0</v>
      </c>
    </row>
    <row r="54" spans="1:19">
      <c r="A54" s="11"/>
      <c r="B54" s="5"/>
      <c r="C54" s="5"/>
      <c r="D54" s="5"/>
      <c r="E54" s="38"/>
      <c r="F54" s="5"/>
      <c r="G54" s="5"/>
      <c r="H54" s="44"/>
      <c r="I54" s="5"/>
      <c r="J54" s="44"/>
      <c r="K54" s="5"/>
      <c r="L54" s="12"/>
      <c r="M54" s="4"/>
      <c r="N54" s="4"/>
      <c r="O54" s="4"/>
      <c r="P54" s="4"/>
    </row>
  </sheetData>
  <autoFilter ref="A1:S1" xr:uid="{00000000-0009-0000-0000-000007000000}">
    <filterColumn colId="3" showButton="0"/>
  </autoFilter>
  <mergeCells count="34">
    <mergeCell ref="A1:A2"/>
    <mergeCell ref="A3:F3"/>
    <mergeCell ref="B4:C5"/>
    <mergeCell ref="B6:I6"/>
    <mergeCell ref="D1:E2"/>
    <mergeCell ref="B30:D30"/>
    <mergeCell ref="B21:D21"/>
    <mergeCell ref="B8:C9"/>
    <mergeCell ref="A10:D10"/>
    <mergeCell ref="A11:G11"/>
    <mergeCell ref="A12:G12"/>
    <mergeCell ref="A13:G13"/>
    <mergeCell ref="B20:D20"/>
    <mergeCell ref="B22:D22"/>
    <mergeCell ref="B17:C18"/>
    <mergeCell ref="B19:D19"/>
    <mergeCell ref="E19:F19"/>
    <mergeCell ref="B25:C26"/>
    <mergeCell ref="B51:D51"/>
    <mergeCell ref="B52:D52"/>
    <mergeCell ref="B46:K46"/>
    <mergeCell ref="B23:D23"/>
    <mergeCell ref="B44:D44"/>
    <mergeCell ref="B41:K41"/>
    <mergeCell ref="B48:D48"/>
    <mergeCell ref="B49:D49"/>
    <mergeCell ref="B38:D38"/>
    <mergeCell ref="B39:D39"/>
    <mergeCell ref="B33:K33"/>
    <mergeCell ref="B43:D43"/>
    <mergeCell ref="B31:D31"/>
    <mergeCell ref="B28:K28"/>
    <mergeCell ref="B35:D35"/>
    <mergeCell ref="B36:D36"/>
  </mergeCells>
  <pageMargins left="0.39370078740157499" right="0.39370078740157499" top="0.59055118110236204" bottom="0.39370078740157499" header="0.196850393700787" footer="0.15748031496063"/>
  <pageSetup paperSize="9" fitToHeight="0" orientation="portrait"/>
  <headerFooter>
    <oddFooter>&amp;CLÁVKA PŘES LABE V NYMBURKU |  Úprava zpevněných ploch u opěry 7&amp;R&amp;P/&amp;N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7 - SO201NN_cm">
    <tabColor theme="5" tint="0.39997558519241921"/>
    <pageSetUpPr fitToPage="1"/>
  </sheetPr>
  <dimension ref="A1:S39"/>
  <sheetViews>
    <sheetView workbookViewId="0">
      <selection sqref="A1:A2"/>
    </sheetView>
  </sheetViews>
  <sheetFormatPr defaultRowHeight="12.75"/>
  <cols>
    <col min="1" max="1" width="4.7109375"/>
    <col min="2" max="2" width="5.7109375"/>
    <col min="3" max="3" width="11.7109375"/>
    <col min="4" max="4" width="5.7109375"/>
    <col min="5" max="5" width="80.7109375"/>
    <col min="6" max="6" width="20.7109375"/>
    <col min="7" max="11" width="22.7109375"/>
    <col min="12" max="12" width="4.7109375"/>
    <col min="17" max="19" width="0" hidden="1"/>
  </cols>
  <sheetData>
    <row r="1" spans="1:19">
      <c r="A1" s="276"/>
      <c r="B1" s="3"/>
      <c r="C1" s="3"/>
      <c r="D1" s="280" t="s">
        <v>0</v>
      </c>
      <c r="E1" s="276"/>
      <c r="F1" s="3"/>
      <c r="G1" s="3"/>
      <c r="H1" s="3"/>
      <c r="I1" s="3"/>
      <c r="J1" s="3"/>
      <c r="K1" s="3"/>
      <c r="L1" s="3"/>
      <c r="M1" s="4"/>
      <c r="N1" s="4"/>
      <c r="O1" s="4"/>
      <c r="P1" s="4"/>
    </row>
    <row r="2" spans="1:19">
      <c r="A2" s="276"/>
      <c r="B2" s="3"/>
      <c r="C2" s="3"/>
      <c r="D2" s="276"/>
      <c r="E2" s="276"/>
      <c r="F2" s="3"/>
      <c r="G2" s="3"/>
      <c r="H2" s="3"/>
      <c r="I2" s="3"/>
      <c r="J2" s="3"/>
      <c r="K2" s="3"/>
      <c r="L2" s="3"/>
      <c r="M2" s="4"/>
      <c r="N2" s="4"/>
      <c r="O2" s="4"/>
      <c r="P2" s="4"/>
    </row>
    <row r="3" spans="1:19" ht="24" customHeight="1">
      <c r="A3" s="278" t="s">
        <v>1</v>
      </c>
      <c r="B3" s="276"/>
      <c r="C3" s="276"/>
      <c r="D3" s="276"/>
      <c r="E3" s="276"/>
      <c r="F3" s="276"/>
      <c r="G3" s="3"/>
      <c r="H3" s="3"/>
      <c r="I3" s="3"/>
      <c r="J3" s="3"/>
      <c r="K3" s="3"/>
      <c r="L3" s="3"/>
      <c r="M3" s="4"/>
      <c r="N3" s="4"/>
      <c r="O3" s="4"/>
      <c r="P3" s="4"/>
    </row>
    <row r="4" spans="1:19" ht="6" customHeight="1">
      <c r="A4" s="5"/>
      <c r="B4" s="289" t="s">
        <v>2</v>
      </c>
      <c r="C4" s="290"/>
      <c r="D4" s="5"/>
      <c r="E4" s="5"/>
      <c r="F4" s="5"/>
      <c r="G4" s="5"/>
      <c r="H4" s="5"/>
      <c r="I4" s="5"/>
      <c r="J4" s="5"/>
      <c r="K4" s="5"/>
      <c r="L4" s="5"/>
      <c r="M4" s="4"/>
      <c r="N4" s="4"/>
      <c r="O4" s="4"/>
      <c r="P4" s="4"/>
    </row>
    <row r="5" spans="1:19" ht="6" customHeight="1">
      <c r="A5" s="6"/>
      <c r="B5" s="273"/>
      <c r="C5" s="273"/>
      <c r="D5" s="7"/>
      <c r="E5" s="7"/>
      <c r="F5" s="7"/>
      <c r="G5" s="7"/>
      <c r="H5" s="7"/>
      <c r="I5" s="7"/>
      <c r="J5" s="7"/>
      <c r="K5" s="7"/>
      <c r="L5" s="8"/>
      <c r="M5" s="4"/>
      <c r="N5" s="4"/>
      <c r="O5" s="4"/>
      <c r="P5" s="4"/>
    </row>
    <row r="6" spans="1:19" ht="33.950000000000003" customHeight="1">
      <c r="A6" s="9"/>
      <c r="B6" s="297" t="s">
        <v>3</v>
      </c>
      <c r="C6" s="276"/>
      <c r="D6" s="276"/>
      <c r="E6" s="276"/>
      <c r="F6" s="276"/>
      <c r="G6" s="276"/>
      <c r="H6" s="276"/>
      <c r="I6" s="276"/>
      <c r="J6" s="3"/>
      <c r="K6" s="3"/>
      <c r="L6" s="10"/>
      <c r="M6" s="4"/>
      <c r="N6" s="4"/>
      <c r="O6" s="4"/>
      <c r="P6" s="4"/>
    </row>
    <row r="7" spans="1:19">
      <c r="A7" s="11"/>
      <c r="B7" s="5"/>
      <c r="C7" s="5"/>
      <c r="D7" s="5"/>
      <c r="E7" s="5"/>
      <c r="F7" s="5"/>
      <c r="G7" s="5"/>
      <c r="H7" s="5"/>
      <c r="I7" s="5"/>
      <c r="J7" s="5"/>
      <c r="K7" s="5"/>
      <c r="L7" s="12"/>
      <c r="M7" s="4"/>
      <c r="N7" s="4"/>
      <c r="O7" s="4"/>
      <c r="P7" s="4"/>
    </row>
    <row r="8" spans="1:19" ht="14.1" customHeight="1">
      <c r="A8" s="5"/>
      <c r="B8" s="293" t="s">
        <v>4</v>
      </c>
      <c r="C8" s="290"/>
      <c r="D8" s="5"/>
      <c r="E8" s="5"/>
      <c r="F8" s="5"/>
      <c r="G8" s="5"/>
      <c r="H8" s="5"/>
      <c r="I8" s="5"/>
      <c r="J8" s="5"/>
      <c r="K8" s="5"/>
      <c r="L8" s="5"/>
      <c r="M8" s="4"/>
      <c r="N8" s="4"/>
      <c r="O8" s="4"/>
      <c r="P8" s="4"/>
    </row>
    <row r="9" spans="1:19" ht="8.1" customHeight="1">
      <c r="A9" s="6"/>
      <c r="B9" s="273"/>
      <c r="C9" s="273"/>
      <c r="D9" s="7"/>
      <c r="E9" s="7"/>
      <c r="F9" s="7"/>
      <c r="G9" s="7"/>
      <c r="H9" s="7"/>
      <c r="I9" s="7"/>
      <c r="J9" s="7"/>
      <c r="K9" s="7"/>
      <c r="L9" s="8"/>
      <c r="M9" s="4"/>
      <c r="N9" s="4"/>
      <c r="O9" s="4"/>
      <c r="P9" s="4"/>
    </row>
    <row r="10" spans="1:19">
      <c r="A10" s="275" t="s">
        <v>5</v>
      </c>
      <c r="B10" s="276"/>
      <c r="C10" s="294"/>
      <c r="D10" s="276"/>
      <c r="E10" s="3"/>
      <c r="F10" s="14"/>
      <c r="G10" s="3"/>
      <c r="H10" s="15" t="s">
        <v>88</v>
      </c>
      <c r="I10" s="16">
        <f>G33+G38</f>
        <v>0</v>
      </c>
      <c r="J10" s="3"/>
      <c r="K10" s="3"/>
      <c r="L10" s="10"/>
      <c r="M10" s="4"/>
      <c r="N10" s="4"/>
      <c r="O10" s="4"/>
      <c r="P10" s="4"/>
    </row>
    <row r="11" spans="1:19" ht="15.95" customHeight="1">
      <c r="A11" s="277" t="s">
        <v>200</v>
      </c>
      <c r="B11" s="276"/>
      <c r="C11" s="276"/>
      <c r="D11" s="276"/>
      <c r="E11" s="276"/>
      <c r="F11" s="295"/>
      <c r="G11" s="276"/>
      <c r="H11" s="15" t="s">
        <v>89</v>
      </c>
      <c r="I11" s="16">
        <f>ROUND(I10*(1+Q11),2)</f>
        <v>0</v>
      </c>
      <c r="J11" s="3"/>
      <c r="K11" s="3"/>
      <c r="L11" s="10"/>
      <c r="M11" s="4"/>
      <c r="N11" s="4"/>
      <c r="O11" s="4"/>
      <c r="P11" s="4"/>
      <c r="Q11" s="1">
        <f>IF(SUM(J20:J21)&gt;0,ROUND(SUM(S20:S21)/SUM(J20:J21)-1,8),0)</f>
        <v>0</v>
      </c>
      <c r="R11" s="1">
        <f>AVERAGE(I33,I38)</f>
        <v>0.21</v>
      </c>
      <c r="S11" s="1">
        <f>I10*(1+Q11)</f>
        <v>0</v>
      </c>
    </row>
    <row r="12" spans="1:19">
      <c r="A12" s="275" t="s">
        <v>7</v>
      </c>
      <c r="B12" s="276"/>
      <c r="C12" s="294"/>
      <c r="D12" s="276"/>
      <c r="E12" s="276"/>
      <c r="F12" s="296"/>
      <c r="G12" s="276"/>
      <c r="H12" s="3"/>
      <c r="I12" s="3"/>
      <c r="J12" s="3"/>
      <c r="K12" s="3"/>
      <c r="L12" s="10"/>
      <c r="M12" s="4"/>
      <c r="N12" s="4"/>
      <c r="O12" s="4"/>
      <c r="P12" s="4"/>
    </row>
    <row r="13" spans="1:19" ht="15.95" customHeight="1">
      <c r="A13" s="277">
        <f>Souhrn!A13</f>
        <v>0</v>
      </c>
      <c r="B13" s="276"/>
      <c r="C13" s="276"/>
      <c r="D13" s="276"/>
      <c r="E13" s="276"/>
      <c r="F13" s="295"/>
      <c r="G13" s="276"/>
      <c r="H13" s="15" t="s">
        <v>8</v>
      </c>
      <c r="I13" s="13">
        <f>Souhrn!E13</f>
        <v>0</v>
      </c>
      <c r="J13" s="3"/>
      <c r="K13" s="3"/>
      <c r="L13" s="10"/>
      <c r="M13" s="4"/>
      <c r="N13" s="4"/>
      <c r="O13" s="4"/>
      <c r="P13" s="4"/>
    </row>
    <row r="14" spans="1:19">
      <c r="A14" s="9"/>
      <c r="B14" s="3"/>
      <c r="C14" s="3"/>
      <c r="D14" s="3"/>
      <c r="E14" s="3"/>
      <c r="F14" s="3"/>
      <c r="G14" s="3"/>
      <c r="H14" s="15" t="s">
        <v>9</v>
      </c>
      <c r="I14" s="13">
        <f>Souhrn!E14</f>
        <v>0</v>
      </c>
      <c r="J14" s="3"/>
      <c r="K14" s="3"/>
      <c r="L14" s="10"/>
      <c r="M14" s="4"/>
      <c r="N14" s="4"/>
      <c r="O14" s="4"/>
      <c r="P14" s="4"/>
    </row>
    <row r="15" spans="1:19" hidden="1">
      <c r="A15" s="9"/>
      <c r="B15" s="3"/>
      <c r="C15" s="3"/>
      <c r="D15" s="3"/>
      <c r="E15" s="3"/>
      <c r="F15" s="3"/>
      <c r="G15" s="3"/>
      <c r="H15" s="3"/>
      <c r="I15" s="3"/>
      <c r="J15" s="3"/>
      <c r="K15" s="3"/>
      <c r="L15" s="10"/>
      <c r="M15" s="4"/>
      <c r="N15" s="4"/>
      <c r="O15" s="4"/>
      <c r="P15" s="4"/>
    </row>
    <row r="16" spans="1:19" ht="9.9499999999999993" customHeight="1">
      <c r="A16" s="11"/>
      <c r="B16" s="5"/>
      <c r="C16" s="5"/>
      <c r="D16" s="5"/>
      <c r="E16" s="5"/>
      <c r="F16" s="5"/>
      <c r="G16" s="5"/>
      <c r="H16" s="5"/>
      <c r="I16" s="5"/>
      <c r="J16" s="5"/>
      <c r="K16" s="5"/>
      <c r="L16" s="12"/>
      <c r="M16" s="4"/>
      <c r="N16" s="4"/>
      <c r="O16" s="4"/>
      <c r="P16" s="4"/>
    </row>
    <row r="17" spans="1:19" ht="14.1" customHeight="1">
      <c r="A17" s="5"/>
      <c r="B17" s="289" t="s">
        <v>10</v>
      </c>
      <c r="C17" s="290"/>
      <c r="D17" s="5"/>
      <c r="E17" s="5"/>
      <c r="F17" s="5"/>
      <c r="G17" s="5"/>
      <c r="H17" s="5"/>
      <c r="I17" s="5"/>
      <c r="J17" s="5"/>
      <c r="K17" s="5"/>
      <c r="L17" s="5"/>
      <c r="M17" s="4"/>
      <c r="N17" s="4"/>
      <c r="O17" s="4"/>
      <c r="P17" s="4"/>
    </row>
    <row r="18" spans="1:19" ht="6" customHeight="1">
      <c r="A18" s="6"/>
      <c r="B18" s="273"/>
      <c r="C18" s="273"/>
      <c r="D18" s="7"/>
      <c r="E18" s="7"/>
      <c r="F18" s="7"/>
      <c r="G18" s="7"/>
      <c r="H18" s="7"/>
      <c r="I18" s="7"/>
      <c r="J18" s="7"/>
      <c r="K18" s="7"/>
      <c r="L18" s="8"/>
      <c r="M18" s="4"/>
      <c r="N18" s="4"/>
      <c r="O18" s="4"/>
      <c r="P18" s="4"/>
    </row>
    <row r="19" spans="1:19" ht="18" customHeight="1">
      <c r="A19" s="9"/>
      <c r="B19" s="291" t="s">
        <v>11</v>
      </c>
      <c r="C19" s="291"/>
      <c r="D19" s="291"/>
      <c r="E19" s="291" t="s">
        <v>12</v>
      </c>
      <c r="F19" s="292"/>
      <c r="G19" s="19"/>
      <c r="H19" s="19"/>
      <c r="I19" s="19"/>
      <c r="J19" s="19" t="s">
        <v>13</v>
      </c>
      <c r="K19" s="19" t="s">
        <v>14</v>
      </c>
      <c r="L19" s="10"/>
      <c r="M19" s="4"/>
      <c r="N19" s="4"/>
      <c r="O19" s="4"/>
      <c r="P19" s="4"/>
    </row>
    <row r="20" spans="1:19">
      <c r="A20" s="9"/>
      <c r="B20" s="287">
        <v>0</v>
      </c>
      <c r="C20" s="276"/>
      <c r="D20" s="276"/>
      <c r="E20" s="20" t="s">
        <v>43</v>
      </c>
      <c r="F20" s="3"/>
      <c r="G20" s="3"/>
      <c r="H20" s="3"/>
      <c r="I20" s="3"/>
      <c r="J20" s="21">
        <f>G33</f>
        <v>0</v>
      </c>
      <c r="K20" s="21">
        <f>K33</f>
        <v>0</v>
      </c>
      <c r="L20" s="10"/>
      <c r="M20" s="4"/>
      <c r="N20" s="4"/>
      <c r="O20" s="4"/>
      <c r="P20" s="4"/>
      <c r="S20" s="1">
        <f>S33</f>
        <v>0</v>
      </c>
    </row>
    <row r="21" spans="1:19">
      <c r="A21" s="9"/>
      <c r="B21" s="287">
        <v>9</v>
      </c>
      <c r="C21" s="276"/>
      <c r="D21" s="276"/>
      <c r="E21" s="20" t="s">
        <v>87</v>
      </c>
      <c r="F21" s="3"/>
      <c r="G21" s="3"/>
      <c r="H21" s="3"/>
      <c r="I21" s="3"/>
      <c r="J21" s="21">
        <f>G38</f>
        <v>0</v>
      </c>
      <c r="K21" s="21">
        <f>K38</f>
        <v>0</v>
      </c>
      <c r="L21" s="10"/>
      <c r="M21" s="4"/>
      <c r="N21" s="4"/>
      <c r="O21" s="4"/>
      <c r="P21" s="4"/>
      <c r="S21" s="1">
        <f>S38</f>
        <v>0</v>
      </c>
    </row>
    <row r="22" spans="1:19">
      <c r="A22" s="11"/>
      <c r="B22" s="5"/>
      <c r="C22" s="5"/>
      <c r="D22" s="5"/>
      <c r="E22" s="5"/>
      <c r="F22" s="5"/>
      <c r="G22" s="5"/>
      <c r="H22" s="5"/>
      <c r="I22" s="5"/>
      <c r="J22" s="5"/>
      <c r="K22" s="5"/>
      <c r="L22" s="12"/>
      <c r="M22" s="4"/>
      <c r="N22" s="4"/>
      <c r="O22" s="4"/>
      <c r="P22" s="4"/>
    </row>
    <row r="23" spans="1:19" ht="14.1" customHeight="1">
      <c r="A23" s="5"/>
      <c r="B23" s="289" t="s">
        <v>15</v>
      </c>
      <c r="C23" s="290"/>
      <c r="D23" s="5"/>
      <c r="E23" s="5"/>
      <c r="F23" s="5"/>
      <c r="G23" s="5"/>
      <c r="H23" s="5"/>
      <c r="I23" s="5"/>
      <c r="J23" s="5"/>
      <c r="K23" s="5"/>
      <c r="L23" s="5"/>
      <c r="M23" s="4"/>
      <c r="N23" s="4"/>
      <c r="O23" s="4"/>
      <c r="P23" s="4"/>
    </row>
    <row r="24" spans="1:19" ht="18" customHeight="1">
      <c r="A24" s="6"/>
      <c r="B24" s="273"/>
      <c r="C24" s="273"/>
      <c r="D24" s="7"/>
      <c r="E24" s="7"/>
      <c r="F24" s="7"/>
      <c r="G24" s="7"/>
      <c r="H24" s="7"/>
      <c r="I24" s="7"/>
      <c r="J24" s="7"/>
      <c r="K24" s="7"/>
      <c r="L24" s="8"/>
      <c r="M24" s="4"/>
      <c r="N24" s="4"/>
      <c r="O24" s="4"/>
      <c r="P24" s="4"/>
    </row>
    <row r="25" spans="1:19" ht="18" customHeight="1">
      <c r="A25" s="9"/>
      <c r="B25" s="17" t="s">
        <v>16</v>
      </c>
      <c r="C25" s="17" t="s">
        <v>11</v>
      </c>
      <c r="D25" s="17" t="s">
        <v>17</v>
      </c>
      <c r="E25" s="17" t="s">
        <v>12</v>
      </c>
      <c r="F25" s="18" t="s">
        <v>18</v>
      </c>
      <c r="G25" s="19" t="s">
        <v>19</v>
      </c>
      <c r="H25" s="19" t="s">
        <v>20</v>
      </c>
      <c r="I25" s="19" t="s">
        <v>13</v>
      </c>
      <c r="J25" s="18" t="s">
        <v>21</v>
      </c>
      <c r="K25" s="19" t="s">
        <v>14</v>
      </c>
      <c r="L25" s="10"/>
      <c r="M25" s="4"/>
      <c r="N25" s="4"/>
      <c r="O25" s="4"/>
      <c r="P25" s="4"/>
    </row>
    <row r="26" spans="1:19" ht="39.950000000000003" customHeight="1">
      <c r="A26" s="9"/>
      <c r="B26" s="288" t="s">
        <v>42</v>
      </c>
      <c r="C26" s="276"/>
      <c r="D26" s="276"/>
      <c r="E26" s="276"/>
      <c r="F26" s="276"/>
      <c r="G26" s="276"/>
      <c r="H26" s="286"/>
      <c r="I26" s="276"/>
      <c r="J26" s="286"/>
      <c r="K26" s="276"/>
      <c r="L26" s="10"/>
      <c r="M26" s="4"/>
      <c r="N26" s="4"/>
      <c r="O26" s="4"/>
      <c r="P26" s="4"/>
    </row>
    <row r="27" spans="1:19">
      <c r="A27" s="9"/>
      <c r="B27" s="22">
        <v>1</v>
      </c>
      <c r="C27" s="23" t="s">
        <v>201</v>
      </c>
      <c r="D27" s="23" t="s">
        <v>92</v>
      </c>
      <c r="E27" s="23" t="s">
        <v>202</v>
      </c>
      <c r="F27" s="24" t="s">
        <v>40</v>
      </c>
      <c r="G27" s="25">
        <f>ROUND(1,3)</f>
        <v>1</v>
      </c>
      <c r="H27" s="40">
        <f>ROUND(0,2)</f>
        <v>0</v>
      </c>
      <c r="I27" s="26">
        <f>ROUND(H27*G27,2)</f>
        <v>0</v>
      </c>
      <c r="J27" s="45" t="s">
        <v>25</v>
      </c>
      <c r="K27" s="26">
        <f>IF(ISNUMBER(J27),ROUND(I27*(J27+1),2),0)</f>
        <v>0</v>
      </c>
      <c r="L27" s="10"/>
      <c r="M27" s="4"/>
      <c r="N27" s="4"/>
      <c r="O27" s="4"/>
      <c r="P27" s="4"/>
      <c r="Q27" s="1">
        <f>IF(ISNUMBER(J27),IF(G27&gt;0,IF(H27&gt;0,I27,0),0),0)</f>
        <v>0</v>
      </c>
      <c r="R27" s="1">
        <f>IF(ISNUMBER(J27)=FALSE,I27,0)</f>
        <v>0</v>
      </c>
    </row>
    <row r="28" spans="1:19" ht="25.5">
      <c r="A28" s="9"/>
      <c r="B28" s="283" t="s">
        <v>27</v>
      </c>
      <c r="C28" s="276"/>
      <c r="D28" s="276"/>
      <c r="E28" s="27" t="s">
        <v>203</v>
      </c>
      <c r="F28" s="3"/>
      <c r="G28" s="3"/>
      <c r="H28" s="39"/>
      <c r="I28" s="3"/>
      <c r="J28" s="39"/>
      <c r="K28" s="3"/>
      <c r="L28" s="10"/>
      <c r="M28" s="4"/>
      <c r="N28" s="4"/>
      <c r="O28" s="4"/>
      <c r="P28" s="4"/>
    </row>
    <row r="29" spans="1:19" ht="13.5" thickBot="1">
      <c r="A29" s="9"/>
      <c r="B29" s="281" t="s">
        <v>28</v>
      </c>
      <c r="C29" s="282"/>
      <c r="D29" s="282"/>
      <c r="E29" s="29" t="s">
        <v>25</v>
      </c>
      <c r="F29" s="28"/>
      <c r="G29" s="28"/>
      <c r="H29" s="41"/>
      <c r="I29" s="28"/>
      <c r="J29" s="41"/>
      <c r="K29" s="28"/>
      <c r="L29" s="10"/>
      <c r="M29" s="4"/>
      <c r="N29" s="4"/>
      <c r="O29" s="4"/>
      <c r="P29" s="4"/>
    </row>
    <row r="30" spans="1:19" ht="13.5" thickTop="1">
      <c r="A30" s="9"/>
      <c r="B30" s="22">
        <v>2</v>
      </c>
      <c r="C30" s="23" t="s">
        <v>204</v>
      </c>
      <c r="D30" s="23" t="s">
        <v>92</v>
      </c>
      <c r="E30" s="23" t="s">
        <v>205</v>
      </c>
      <c r="F30" s="24" t="s">
        <v>52</v>
      </c>
      <c r="G30" s="30">
        <f>ROUND(2,3)</f>
        <v>2</v>
      </c>
      <c r="H30" s="42">
        <f>ROUND(0,2)</f>
        <v>0</v>
      </c>
      <c r="I30" s="31">
        <f>ROUND(H30*G30,2)</f>
        <v>0</v>
      </c>
      <c r="J30" s="46" t="s">
        <v>25</v>
      </c>
      <c r="K30" s="31">
        <f>IF(ISNUMBER(J30),ROUND(I30*(J30+1),2),0)</f>
        <v>0</v>
      </c>
      <c r="L30" s="10"/>
      <c r="M30" s="4"/>
      <c r="N30" s="4"/>
      <c r="O30" s="4"/>
      <c r="P30" s="4"/>
      <c r="Q30" s="1">
        <f>IF(ISNUMBER(J30),IF(G30&gt;0,IF(H30&gt;0,I30,0),0),0)</f>
        <v>0</v>
      </c>
      <c r="R30" s="1">
        <f>IF(ISNUMBER(J30)=FALSE,I30,0)</f>
        <v>0</v>
      </c>
    </row>
    <row r="31" spans="1:19">
      <c r="A31" s="9"/>
      <c r="B31" s="283" t="s">
        <v>27</v>
      </c>
      <c r="C31" s="276"/>
      <c r="D31" s="276"/>
      <c r="E31" s="27" t="s">
        <v>25</v>
      </c>
      <c r="F31" s="3"/>
      <c r="G31" s="3"/>
      <c r="H31" s="39"/>
      <c r="I31" s="3"/>
      <c r="J31" s="39"/>
      <c r="K31" s="3"/>
      <c r="L31" s="10"/>
      <c r="M31" s="4"/>
      <c r="N31" s="4"/>
      <c r="O31" s="4"/>
      <c r="P31" s="4"/>
    </row>
    <row r="32" spans="1:19" ht="13.5" thickBot="1">
      <c r="A32" s="9"/>
      <c r="B32" s="281" t="s">
        <v>28</v>
      </c>
      <c r="C32" s="282"/>
      <c r="D32" s="282"/>
      <c r="E32" s="29" t="s">
        <v>25</v>
      </c>
      <c r="F32" s="28"/>
      <c r="G32" s="28"/>
      <c r="H32" s="41"/>
      <c r="I32" s="28"/>
      <c r="J32" s="41"/>
      <c r="K32" s="28"/>
      <c r="L32" s="10"/>
      <c r="M32" s="4"/>
      <c r="N32" s="4"/>
      <c r="O32" s="4"/>
      <c r="P32" s="4"/>
    </row>
    <row r="33" spans="1:19" ht="24.95" customHeight="1" thickTop="1" thickBot="1">
      <c r="A33" s="9"/>
      <c r="B33" s="32"/>
      <c r="C33" s="33">
        <v>0</v>
      </c>
      <c r="D33" s="32"/>
      <c r="E33" s="34" t="s">
        <v>43</v>
      </c>
      <c r="F33" s="35" t="s">
        <v>44</v>
      </c>
      <c r="G33" s="36">
        <f>I27+I30</f>
        <v>0</v>
      </c>
      <c r="H33" s="43" t="s">
        <v>45</v>
      </c>
      <c r="I33" s="37">
        <f>IF(COUNT(J27:J33)&gt;0,AVERAGE(J27:J33),0.21)</f>
        <v>0.21</v>
      </c>
      <c r="J33" s="43" t="s">
        <v>46</v>
      </c>
      <c r="K33" s="36">
        <f>ROUND(Q33*(1+I33),2)+R33</f>
        <v>0</v>
      </c>
      <c r="L33" s="10"/>
      <c r="M33" s="4"/>
      <c r="N33" s="4"/>
      <c r="O33" s="4"/>
      <c r="P33" s="4"/>
      <c r="Q33" s="1">
        <f>0+Q27+Q30</f>
        <v>0</v>
      </c>
      <c r="R33" s="1">
        <f>0+R27+R30</f>
        <v>0</v>
      </c>
      <c r="S33" s="2">
        <f>Q33*(1+I33)+R33</f>
        <v>0</v>
      </c>
    </row>
    <row r="34" spans="1:19" ht="39.950000000000003" customHeight="1">
      <c r="A34" s="9"/>
      <c r="B34" s="284" t="s">
        <v>86</v>
      </c>
      <c r="C34" s="276"/>
      <c r="D34" s="276"/>
      <c r="E34" s="285"/>
      <c r="F34" s="276"/>
      <c r="G34" s="276"/>
      <c r="H34" s="286"/>
      <c r="I34" s="276"/>
      <c r="J34" s="286"/>
      <c r="K34" s="276"/>
      <c r="L34" s="10"/>
      <c r="M34" s="4"/>
      <c r="N34" s="4"/>
      <c r="O34" s="4"/>
      <c r="P34" s="4"/>
    </row>
    <row r="35" spans="1:19">
      <c r="A35" s="9"/>
      <c r="B35" s="22">
        <v>3</v>
      </c>
      <c r="C35" s="23" t="s">
        <v>206</v>
      </c>
      <c r="D35" s="23" t="s">
        <v>92</v>
      </c>
      <c r="E35" s="23" t="s">
        <v>207</v>
      </c>
      <c r="F35" s="24" t="s">
        <v>52</v>
      </c>
      <c r="G35" s="25">
        <f>ROUND(2,3)</f>
        <v>2</v>
      </c>
      <c r="H35" s="40">
        <f>ROUND(0,2)</f>
        <v>0</v>
      </c>
      <c r="I35" s="26">
        <f>ROUND(H35*G35,2)</f>
        <v>0</v>
      </c>
      <c r="J35" s="45" t="s">
        <v>25</v>
      </c>
      <c r="K35" s="26">
        <f>IF(ISNUMBER(J35),ROUND(I35*(J35+1),2),0)</f>
        <v>0</v>
      </c>
      <c r="L35" s="10"/>
      <c r="M35" s="4"/>
      <c r="N35" s="4"/>
      <c r="O35" s="4"/>
      <c r="P35" s="4"/>
      <c r="Q35" s="1">
        <f>IF(ISNUMBER(J35),IF(G35&gt;0,IF(H35&gt;0,I35,0),0),0)</f>
        <v>0</v>
      </c>
      <c r="R35" s="1">
        <f>IF(ISNUMBER(J35)=FALSE,I35,0)</f>
        <v>0</v>
      </c>
    </row>
    <row r="36" spans="1:19">
      <c r="A36" s="9"/>
      <c r="B36" s="283" t="s">
        <v>27</v>
      </c>
      <c r="C36" s="276"/>
      <c r="D36" s="276"/>
      <c r="E36" s="27" t="s">
        <v>208</v>
      </c>
      <c r="F36" s="3"/>
      <c r="G36" s="3"/>
      <c r="H36" s="39"/>
      <c r="I36" s="3"/>
      <c r="J36" s="39"/>
      <c r="K36" s="3"/>
      <c r="L36" s="10"/>
      <c r="M36" s="4"/>
      <c r="N36" s="4"/>
      <c r="O36" s="4"/>
      <c r="P36" s="4"/>
    </row>
    <row r="37" spans="1:19" ht="13.5" thickBot="1">
      <c r="A37" s="9"/>
      <c r="B37" s="281" t="s">
        <v>28</v>
      </c>
      <c r="C37" s="282"/>
      <c r="D37" s="282"/>
      <c r="E37" s="29" t="s">
        <v>25</v>
      </c>
      <c r="F37" s="28"/>
      <c r="G37" s="28"/>
      <c r="H37" s="41"/>
      <c r="I37" s="28"/>
      <c r="J37" s="41"/>
      <c r="K37" s="28"/>
      <c r="L37" s="10"/>
      <c r="M37" s="4"/>
      <c r="N37" s="4"/>
      <c r="O37" s="4"/>
      <c r="P37" s="4"/>
    </row>
    <row r="38" spans="1:19" ht="24.95" customHeight="1" thickTop="1" thickBot="1">
      <c r="A38" s="9"/>
      <c r="B38" s="32"/>
      <c r="C38" s="33">
        <v>9</v>
      </c>
      <c r="D38" s="32"/>
      <c r="E38" s="34" t="s">
        <v>87</v>
      </c>
      <c r="F38" s="35" t="s">
        <v>44</v>
      </c>
      <c r="G38" s="36">
        <f>0+I35</f>
        <v>0</v>
      </c>
      <c r="H38" s="43" t="s">
        <v>45</v>
      </c>
      <c r="I38" s="37">
        <f>IF(COUNT(J35:J38)&gt;0,AVERAGE(J35:J38),0.21)</f>
        <v>0.21</v>
      </c>
      <c r="J38" s="43" t="s">
        <v>46</v>
      </c>
      <c r="K38" s="36">
        <f>ROUND(Q38*(1+I38),2)+R38</f>
        <v>0</v>
      </c>
      <c r="L38" s="10"/>
      <c r="M38" s="4"/>
      <c r="N38" s="4"/>
      <c r="O38" s="4"/>
      <c r="P38" s="4"/>
      <c r="Q38" s="1">
        <f>0+Q35</f>
        <v>0</v>
      </c>
      <c r="R38" s="1">
        <f>0+R35</f>
        <v>0</v>
      </c>
      <c r="S38" s="2">
        <f>Q38*(1+I38)+R38</f>
        <v>0</v>
      </c>
    </row>
    <row r="39" spans="1:19">
      <c r="A39" s="11"/>
      <c r="B39" s="5"/>
      <c r="C39" s="5"/>
      <c r="D39" s="5"/>
      <c r="E39" s="38"/>
      <c r="F39" s="5"/>
      <c r="G39" s="5"/>
      <c r="H39" s="44"/>
      <c r="I39" s="5"/>
      <c r="J39" s="44"/>
      <c r="K39" s="5"/>
      <c r="L39" s="12"/>
      <c r="M39" s="4"/>
      <c r="N39" s="4"/>
      <c r="O39" s="4"/>
      <c r="P39" s="4"/>
    </row>
  </sheetData>
  <autoFilter ref="A1:S1" xr:uid="{00000000-0009-0000-0000-000008000000}">
    <filterColumn colId="3" showButton="0"/>
  </autoFilter>
  <mergeCells count="24">
    <mergeCell ref="A1:A2"/>
    <mergeCell ref="A3:F3"/>
    <mergeCell ref="B4:C5"/>
    <mergeCell ref="B6:I6"/>
    <mergeCell ref="D1:E2"/>
    <mergeCell ref="B8:C9"/>
    <mergeCell ref="A10:D10"/>
    <mergeCell ref="A11:G11"/>
    <mergeCell ref="A12:G12"/>
    <mergeCell ref="A13:G13"/>
    <mergeCell ref="B20:D20"/>
    <mergeCell ref="B17:C18"/>
    <mergeCell ref="B19:D19"/>
    <mergeCell ref="E19:F19"/>
    <mergeCell ref="B23:C24"/>
    <mergeCell ref="B36:D36"/>
    <mergeCell ref="B37:D37"/>
    <mergeCell ref="B34:K34"/>
    <mergeCell ref="B21:D21"/>
    <mergeCell ref="B29:D29"/>
    <mergeCell ref="B31:D31"/>
    <mergeCell ref="B32:D32"/>
    <mergeCell ref="B26:K26"/>
    <mergeCell ref="B28:D28"/>
  </mergeCells>
  <pageMargins left="0.39370078740157499" right="0.39370078740157499" top="0.59055118110236204" bottom="0.39370078740157499" header="0.196850393700787" footer="0.15748031496063"/>
  <pageSetup paperSize="9" fitToHeight="0" orientation="portrait"/>
  <headerFooter>
    <oddFooter>&amp;CLÁVKA PŘES LABE V NYMBURKU | Lávka přes Labe v Nymburku&amp;R&amp;P/&amp;N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25</vt:i4>
      </vt:variant>
      <vt:variant>
        <vt:lpstr>Pojmenované oblasti</vt:lpstr>
      </vt:variant>
      <vt:variant>
        <vt:i4>48</vt:i4>
      </vt:variant>
    </vt:vector>
  </HeadingPairs>
  <TitlesOfParts>
    <vt:vector size="73" baseType="lpstr">
      <vt:lpstr>Souhrn</vt:lpstr>
      <vt:lpstr>0 - SO010UN</vt:lpstr>
      <vt:lpstr>1 - SO151NN</vt:lpstr>
      <vt:lpstr>2 - SO151UN</vt:lpstr>
      <vt:lpstr>3 - SO152NN</vt:lpstr>
      <vt:lpstr>4 - SO152UN</vt:lpstr>
      <vt:lpstr>5 - SO153NN</vt:lpstr>
      <vt:lpstr>6 - SO153UN</vt:lpstr>
      <vt:lpstr>7 - SO201NN</vt:lpstr>
      <vt:lpstr>8 - SO201UN</vt:lpstr>
      <vt:lpstr>9 - SO341NN</vt:lpstr>
      <vt:lpstr>10 - SO341UN</vt:lpstr>
      <vt:lpstr>11 - SO431NN</vt:lpstr>
      <vt:lpstr>12 - SO432NN</vt:lpstr>
      <vt:lpstr>13 - 801.1.1.NN</vt:lpstr>
      <vt:lpstr>14 - 801.1.2NN</vt:lpstr>
      <vt:lpstr>15 - 801.2.1.NN</vt:lpstr>
      <vt:lpstr>16 - 801.2.2.NN</vt:lpstr>
      <vt:lpstr>17 - SO431_podrobně</vt:lpstr>
      <vt:lpstr>18 - SO432_podrobně</vt:lpstr>
      <vt:lpstr>19 - SO801_podrobně</vt:lpstr>
      <vt:lpstr>SO 801.1.1 - Hrubé terénn...</vt:lpstr>
      <vt:lpstr>SO 801.1.2 - Příprava plo...</vt:lpstr>
      <vt:lpstr>SO 801.2.1 - Založení veg...</vt:lpstr>
      <vt:lpstr>SO 801.2.2 - Rozvojová pé...</vt:lpstr>
      <vt:lpstr>'0 - SO010UN'!Názvy_tisku</vt:lpstr>
      <vt:lpstr>'1 - SO151NN'!Názvy_tisku</vt:lpstr>
      <vt:lpstr>'10 - SO341UN'!Názvy_tisku</vt:lpstr>
      <vt:lpstr>'11 - SO431NN'!Názvy_tisku</vt:lpstr>
      <vt:lpstr>'12 - SO432NN'!Názvy_tisku</vt:lpstr>
      <vt:lpstr>'13 - 801.1.1.NN'!Názvy_tisku</vt:lpstr>
      <vt:lpstr>'14 - 801.1.2NN'!Názvy_tisku</vt:lpstr>
      <vt:lpstr>'15 - 801.2.1.NN'!Názvy_tisku</vt:lpstr>
      <vt:lpstr>'16 - 801.2.2.NN'!Názvy_tisku</vt:lpstr>
      <vt:lpstr>'19 - SO801_podrobně'!Názvy_tisku</vt:lpstr>
      <vt:lpstr>'2 - SO151UN'!Názvy_tisku</vt:lpstr>
      <vt:lpstr>'3 - SO152NN'!Názvy_tisku</vt:lpstr>
      <vt:lpstr>'4 - SO152UN'!Názvy_tisku</vt:lpstr>
      <vt:lpstr>'5 - SO153NN'!Názvy_tisku</vt:lpstr>
      <vt:lpstr>'6 - SO153UN'!Názvy_tisku</vt:lpstr>
      <vt:lpstr>'7 - SO201NN'!Názvy_tisku</vt:lpstr>
      <vt:lpstr>'8 - SO201UN'!Názvy_tisku</vt:lpstr>
      <vt:lpstr>'9 - SO341NN'!Názvy_tisku</vt:lpstr>
      <vt:lpstr>'SO 801.1.1 - Hrubé terénn...'!Názvy_tisku</vt:lpstr>
      <vt:lpstr>'SO 801.1.2 - Příprava plo...'!Názvy_tisku</vt:lpstr>
      <vt:lpstr>'SO 801.2.1 - Založení veg...'!Názvy_tisku</vt:lpstr>
      <vt:lpstr>'SO 801.2.2 - Rozvojová pé...'!Názvy_tisku</vt:lpstr>
      <vt:lpstr>Souhrn!Názvy_tisku</vt:lpstr>
      <vt:lpstr>'0 - SO010UN'!Oblast_tisku</vt:lpstr>
      <vt:lpstr>'1 - SO151NN'!Oblast_tisku</vt:lpstr>
      <vt:lpstr>'10 - SO341UN'!Oblast_tisku</vt:lpstr>
      <vt:lpstr>'11 - SO431NN'!Oblast_tisku</vt:lpstr>
      <vt:lpstr>'12 - SO432NN'!Oblast_tisku</vt:lpstr>
      <vt:lpstr>'13 - 801.1.1.NN'!Oblast_tisku</vt:lpstr>
      <vt:lpstr>'14 - 801.1.2NN'!Oblast_tisku</vt:lpstr>
      <vt:lpstr>'15 - 801.2.1.NN'!Oblast_tisku</vt:lpstr>
      <vt:lpstr>'16 - 801.2.2.NN'!Oblast_tisku</vt:lpstr>
      <vt:lpstr>'17 - SO431_podrobně'!Oblast_tisku</vt:lpstr>
      <vt:lpstr>'18 - SO432_podrobně'!Oblast_tisku</vt:lpstr>
      <vt:lpstr>'19 - SO801_podrobně'!Oblast_tisku</vt:lpstr>
      <vt:lpstr>'2 - SO151UN'!Oblast_tisku</vt:lpstr>
      <vt:lpstr>'3 - SO152NN'!Oblast_tisku</vt:lpstr>
      <vt:lpstr>'4 - SO152UN'!Oblast_tisku</vt:lpstr>
      <vt:lpstr>'5 - SO153NN'!Oblast_tisku</vt:lpstr>
      <vt:lpstr>'6 - SO153UN'!Oblast_tisku</vt:lpstr>
      <vt:lpstr>'7 - SO201NN'!Oblast_tisku</vt:lpstr>
      <vt:lpstr>'8 - SO201UN'!Oblast_tisku</vt:lpstr>
      <vt:lpstr>'9 - SO341NN'!Oblast_tisku</vt:lpstr>
      <vt:lpstr>'SO 801.1.1 - Hrubé terénn...'!Oblast_tisku</vt:lpstr>
      <vt:lpstr>'SO 801.1.2 - Příprava plo...'!Oblast_tisku</vt:lpstr>
      <vt:lpstr>'SO 801.2.1 - Založení veg...'!Oblast_tisku</vt:lpstr>
      <vt:lpstr>'SO 801.2.2 - Rozvojová pé...'!Oblast_tisku</vt:lpstr>
      <vt:lpstr>Souhrn!Oblast_tisku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nekovarova</dc:creator>
  <cp:keywords/>
  <dc:description/>
  <cp:lastModifiedBy>nekovarova</cp:lastModifiedBy>
  <dcterms:created xsi:type="dcterms:W3CDTF">2020-02-10T13:08:50Z</dcterms:created>
  <dcterms:modified xsi:type="dcterms:W3CDTF">2020-02-10T13:50:18Z</dcterms:modified>
  <cp:category/>
</cp:coreProperties>
</file>